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fileSharing readOnlyRecommended="1"/>
  <workbookPr/>
  <bookViews>
    <workbookView xWindow="-120" yWindow="-120" windowWidth="23256" windowHeight="13176" firstSheet="1" activeTab="1"/>
  </bookViews>
  <sheets>
    <sheet name="AG Analysis" sheetId="1" r:id="rId1"/>
    <sheet name="AG Sales" sheetId="2" r:id="rId2"/>
    <sheet name="Com" sheetId="9" r:id="rId3"/>
    <sheet name="IND" sheetId="10" r:id="rId4"/>
    <sheet name="Lake Backlots" sheetId="3" r:id="rId5"/>
    <sheet name=" Lakefront Tables" sheetId="5" r:id="rId6"/>
    <sheet name="Lakefront" sheetId="4" r:id="rId7"/>
    <sheet name="Rural Res" sheetId="7" r:id="rId8"/>
    <sheet name="Rural Res Tables" sheetId="8" r:id="rId9"/>
    <sheet name="Scherm" sheetId="6" r:id="rId10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"/>
  <c r="Q21" i="9"/>
  <c r="I19"/>
  <c r="K19"/>
  <c r="Q19" s="1"/>
  <c r="O24"/>
  <c r="Q22"/>
  <c r="Q23"/>
  <c r="G20" l="1"/>
  <c r="K20" s="1"/>
  <c r="Q20" l="1"/>
  <c r="K24"/>
  <c r="P25" s="1"/>
  <c r="I20"/>
  <c r="K7" i="7" l="1"/>
  <c r="G27" i="9" l="1"/>
  <c r="G28"/>
  <c r="G30"/>
  <c r="G31"/>
  <c r="G32"/>
  <c r="G33"/>
  <c r="G34"/>
  <c r="G35"/>
  <c r="G36"/>
  <c r="G37"/>
  <c r="G38"/>
  <c r="G39"/>
  <c r="G40"/>
  <c r="G41"/>
  <c r="G26"/>
  <c r="F29"/>
  <c r="G29" s="1"/>
  <c r="L3" i="5" l="1"/>
  <c r="L4"/>
  <c r="L5"/>
  <c r="L6"/>
  <c r="L7"/>
  <c r="L8"/>
  <c r="L9"/>
  <c r="L10"/>
  <c r="L11"/>
  <c r="L2"/>
  <c r="M11"/>
  <c r="N11" s="1"/>
  <c r="J11"/>
  <c r="M10"/>
  <c r="N10" s="1"/>
  <c r="J10"/>
  <c r="M9"/>
  <c r="N9" s="1"/>
  <c r="J9"/>
  <c r="M8"/>
  <c r="N8" s="1"/>
  <c r="J8"/>
  <c r="M7"/>
  <c r="N7" s="1"/>
  <c r="J7"/>
  <c r="M6"/>
  <c r="N6" s="1"/>
  <c r="J6"/>
  <c r="M5"/>
  <c r="N5" s="1"/>
  <c r="J5"/>
  <c r="M4"/>
  <c r="N4" s="1"/>
  <c r="J4"/>
  <c r="M3"/>
  <c r="N3" s="1"/>
  <c r="J3"/>
  <c r="M2"/>
  <c r="N2" s="1"/>
  <c r="J2"/>
  <c r="G14" i="8"/>
  <c r="I3"/>
  <c r="I4"/>
  <c r="I5"/>
  <c r="I6"/>
  <c r="I7"/>
  <c r="I8"/>
  <c r="I9"/>
  <c r="I10"/>
  <c r="I11"/>
  <c r="I12"/>
  <c r="I13"/>
  <c r="I2"/>
  <c r="F3"/>
  <c r="F4"/>
  <c r="F5"/>
  <c r="F6"/>
  <c r="F7"/>
  <c r="F8"/>
  <c r="F9"/>
  <c r="F10"/>
  <c r="F11"/>
  <c r="F12"/>
  <c r="F13"/>
  <c r="F2"/>
  <c r="H3"/>
  <c r="H4"/>
  <c r="H5"/>
  <c r="H6"/>
  <c r="H7"/>
  <c r="H8"/>
  <c r="H9"/>
  <c r="H10"/>
  <c r="H11"/>
  <c r="H12"/>
  <c r="H13"/>
  <c r="H14"/>
  <c r="H2"/>
  <c r="C17"/>
  <c r="C16"/>
  <c r="C15"/>
  <c r="C14"/>
  <c r="C13"/>
  <c r="C12"/>
  <c r="C11"/>
  <c r="C10"/>
  <c r="C9"/>
  <c r="C8"/>
  <c r="C7"/>
  <c r="C6"/>
  <c r="B5"/>
  <c r="C5" s="1"/>
  <c r="C4"/>
  <c r="C3"/>
  <c r="C2"/>
  <c r="M113" i="7"/>
  <c r="P112"/>
  <c r="K112"/>
  <c r="K113" s="1"/>
  <c r="N114" s="1"/>
  <c r="I112"/>
  <c r="M107"/>
  <c r="O106"/>
  <c r="K106"/>
  <c r="K107" s="1"/>
  <c r="N108" s="1"/>
  <c r="I106"/>
  <c r="M103"/>
  <c r="K103"/>
  <c r="N104" s="1"/>
  <c r="K102"/>
  <c r="P102" s="1"/>
  <c r="I102"/>
  <c r="K101"/>
  <c r="P101" s="1"/>
  <c r="I101"/>
  <c r="K100"/>
  <c r="P100" s="1"/>
  <c r="I100"/>
  <c r="K99"/>
  <c r="P99" s="1"/>
  <c r="I99"/>
  <c r="K98"/>
  <c r="P98" s="1"/>
  <c r="I98"/>
  <c r="K97"/>
  <c r="P97" s="1"/>
  <c r="I97"/>
  <c r="K96"/>
  <c r="P96" s="1"/>
  <c r="I96"/>
  <c r="M92"/>
  <c r="K92"/>
  <c r="N93" s="1"/>
  <c r="P91"/>
  <c r="K91"/>
  <c r="O91" s="1"/>
  <c r="I91"/>
  <c r="M87"/>
  <c r="P86"/>
  <c r="O86"/>
  <c r="K86"/>
  <c r="I86"/>
  <c r="P85"/>
  <c r="O85"/>
  <c r="K85"/>
  <c r="K87" s="1"/>
  <c r="N88" s="1"/>
  <c r="I85"/>
  <c r="M81"/>
  <c r="O80"/>
  <c r="K80"/>
  <c r="P80" s="1"/>
  <c r="I80"/>
  <c r="K79"/>
  <c r="O79" s="1"/>
  <c r="I79"/>
  <c r="O78"/>
  <c r="K78"/>
  <c r="P78" s="1"/>
  <c r="I78"/>
  <c r="K77"/>
  <c r="P77" s="1"/>
  <c r="I77"/>
  <c r="O76"/>
  <c r="K76"/>
  <c r="P76" s="1"/>
  <c r="I76"/>
  <c r="K75"/>
  <c r="O75" s="1"/>
  <c r="I75"/>
  <c r="O74"/>
  <c r="K74"/>
  <c r="K81" s="1"/>
  <c r="N82" s="1"/>
  <c r="I74"/>
  <c r="M69"/>
  <c r="K69"/>
  <c r="N70" s="1"/>
  <c r="K68"/>
  <c r="P68" s="1"/>
  <c r="I68"/>
  <c r="K67"/>
  <c r="P67" s="1"/>
  <c r="I67"/>
  <c r="K66"/>
  <c r="P66" s="1"/>
  <c r="I66"/>
  <c r="K65"/>
  <c r="P65" s="1"/>
  <c r="I65"/>
  <c r="M60"/>
  <c r="K60"/>
  <c r="N61" s="1"/>
  <c r="P59"/>
  <c r="O59"/>
  <c r="K59"/>
  <c r="I59"/>
  <c r="P58"/>
  <c r="K58"/>
  <c r="O58" s="1"/>
  <c r="I58"/>
  <c r="P57"/>
  <c r="O57"/>
  <c r="K57"/>
  <c r="I57"/>
  <c r="P56"/>
  <c r="K56"/>
  <c r="O56" s="1"/>
  <c r="I56"/>
  <c r="P55"/>
  <c r="O55"/>
  <c r="K55"/>
  <c r="I55"/>
  <c r="P54"/>
  <c r="K54"/>
  <c r="O54" s="1"/>
  <c r="I54"/>
  <c r="P53"/>
  <c r="O53"/>
  <c r="K53"/>
  <c r="I53"/>
  <c r="M49"/>
  <c r="P48"/>
  <c r="K48"/>
  <c r="O48" s="1"/>
  <c r="I48"/>
  <c r="P47"/>
  <c r="O47"/>
  <c r="K47"/>
  <c r="I47"/>
  <c r="P46"/>
  <c r="K46"/>
  <c r="K49" s="1"/>
  <c r="N50" s="1"/>
  <c r="I46"/>
  <c r="M42"/>
  <c r="P41"/>
  <c r="O41"/>
  <c r="K41"/>
  <c r="I41"/>
  <c r="K40"/>
  <c r="O40" s="1"/>
  <c r="I40"/>
  <c r="P39"/>
  <c r="O39"/>
  <c r="K39"/>
  <c r="I39"/>
  <c r="K38"/>
  <c r="P38" s="1"/>
  <c r="I38"/>
  <c r="P37"/>
  <c r="O37"/>
  <c r="K37"/>
  <c r="K42" s="1"/>
  <c r="N43" s="1"/>
  <c r="I37"/>
  <c r="M33"/>
  <c r="K33"/>
  <c r="N34" s="1"/>
  <c r="K32"/>
  <c r="P32" s="1"/>
  <c r="I32"/>
  <c r="K31"/>
  <c r="P31" s="1"/>
  <c r="I31"/>
  <c r="K30"/>
  <c r="P30" s="1"/>
  <c r="I30"/>
  <c r="K29"/>
  <c r="P29" s="1"/>
  <c r="I29"/>
  <c r="K28"/>
  <c r="P28" s="1"/>
  <c r="I28"/>
  <c r="M24"/>
  <c r="K24"/>
  <c r="N25" s="1"/>
  <c r="P23"/>
  <c r="K23"/>
  <c r="O23" s="1"/>
  <c r="I23"/>
  <c r="O22"/>
  <c r="K22"/>
  <c r="P22" s="1"/>
  <c r="I22"/>
  <c r="P21"/>
  <c r="K21"/>
  <c r="O21" s="1"/>
  <c r="I21"/>
  <c r="M17"/>
  <c r="P16"/>
  <c r="O16"/>
  <c r="K16"/>
  <c r="I16"/>
  <c r="P15"/>
  <c r="K15"/>
  <c r="O15" s="1"/>
  <c r="I15"/>
  <c r="P14"/>
  <c r="O14"/>
  <c r="K14"/>
  <c r="K17" s="1"/>
  <c r="N18" s="1"/>
  <c r="I14"/>
  <c r="M10"/>
  <c r="K9"/>
  <c r="P9" s="1"/>
  <c r="I9"/>
  <c r="P8"/>
  <c r="O8"/>
  <c r="K8"/>
  <c r="I8"/>
  <c r="K10"/>
  <c r="N11" s="1"/>
  <c r="I7"/>
  <c r="M3"/>
  <c r="K2"/>
  <c r="K3" s="1"/>
  <c r="N4" s="1"/>
  <c r="I2"/>
  <c r="D9" i="6"/>
  <c r="N120" i="4"/>
  <c r="L120"/>
  <c r="O121" s="1"/>
  <c r="N114"/>
  <c r="L114"/>
  <c r="O115" s="1"/>
  <c r="N109"/>
  <c r="L109"/>
  <c r="O110" s="1"/>
  <c r="N99"/>
  <c r="L99"/>
  <c r="N95"/>
  <c r="L95"/>
  <c r="L88"/>
  <c r="N75"/>
  <c r="L75"/>
  <c r="N71"/>
  <c r="L71"/>
  <c r="N64"/>
  <c r="L64"/>
  <c r="N55"/>
  <c r="L55"/>
  <c r="N51"/>
  <c r="L51"/>
  <c r="N43"/>
  <c r="L43"/>
  <c r="N35"/>
  <c r="N31"/>
  <c r="N24"/>
  <c r="N17"/>
  <c r="N11"/>
  <c r="L35"/>
  <c r="L31"/>
  <c r="L24"/>
  <c r="L17"/>
  <c r="L11"/>
  <c r="H26" i="1"/>
  <c r="G18"/>
  <c r="E13"/>
  <c r="H13"/>
  <c r="H27"/>
  <c r="H12"/>
  <c r="E10"/>
  <c r="H25"/>
  <c r="E25"/>
  <c r="E29"/>
  <c r="E28"/>
  <c r="E24"/>
  <c r="E23"/>
  <c r="H19"/>
  <c r="H11"/>
  <c r="H23"/>
  <c r="I14" i="8" l="1"/>
  <c r="O7" i="7"/>
  <c r="O9"/>
  <c r="O38"/>
  <c r="O77"/>
  <c r="O2"/>
  <c r="P7"/>
  <c r="O29"/>
  <c r="O31"/>
  <c r="P40"/>
  <c r="O65"/>
  <c r="O67"/>
  <c r="P75"/>
  <c r="P79"/>
  <c r="O97"/>
  <c r="O99"/>
  <c r="O101"/>
  <c r="P2"/>
  <c r="O46"/>
  <c r="O112"/>
  <c r="O28"/>
  <c r="O30"/>
  <c r="O32"/>
  <c r="O66"/>
  <c r="O68"/>
  <c r="P74"/>
  <c r="O96"/>
  <c r="O98"/>
  <c r="O100"/>
  <c r="O102"/>
  <c r="P106"/>
  <c r="O52" i="4"/>
  <c r="O76"/>
  <c r="O96"/>
  <c r="O100"/>
  <c r="O72"/>
  <c r="O65"/>
  <c r="O44"/>
  <c r="O56"/>
  <c r="O25"/>
  <c r="O18"/>
  <c r="O32"/>
  <c r="O36"/>
  <c r="O12"/>
  <c r="H10" i="1"/>
  <c r="H14" s="1"/>
  <c r="H29"/>
  <c r="H28"/>
  <c r="H24"/>
  <c r="H30" s="1"/>
  <c r="H18"/>
  <c r="H20" s="1"/>
</calcChain>
</file>

<file path=xl/sharedStrings.xml><?xml version="1.0" encoding="utf-8"?>
<sst xmlns="http://schemas.openxmlformats.org/spreadsheetml/2006/main" count="1634" uniqueCount="615">
  <si>
    <t>Wet/Swamp</t>
  </si>
  <si>
    <t>Non Till</t>
  </si>
  <si>
    <t xml:space="preserve"> </t>
  </si>
  <si>
    <t>Tillable</t>
  </si>
  <si>
    <t>Parcel</t>
  </si>
  <si>
    <t>Sale</t>
  </si>
  <si>
    <t>Liber</t>
  </si>
  <si>
    <t>Acres</t>
  </si>
  <si>
    <t>residual</t>
  </si>
  <si>
    <t>Bldg</t>
  </si>
  <si>
    <t>Calc.</t>
  </si>
  <si>
    <t>Wet</t>
  </si>
  <si>
    <t>Till</t>
  </si>
  <si>
    <t>Comments</t>
  </si>
  <si>
    <t>Number</t>
  </si>
  <si>
    <t>Date</t>
  </si>
  <si>
    <t>Page</t>
  </si>
  <si>
    <t>w/o ROW</t>
  </si>
  <si>
    <t>sale price</t>
  </si>
  <si>
    <t>&amp; Site</t>
  </si>
  <si>
    <t>Rate</t>
  </si>
  <si>
    <t>Swamp</t>
  </si>
  <si>
    <t xml:space="preserve">Tillable </t>
  </si>
  <si>
    <t>per SqFt=&gt;</t>
  </si>
  <si>
    <t>per Net Acre=&gt;</t>
  </si>
  <si>
    <t>per FF=&gt;</t>
  </si>
  <si>
    <t>Std. Dev. =&gt;</t>
  </si>
  <si>
    <t>Average</t>
  </si>
  <si>
    <t>Sale. Ratio =&gt;</t>
  </si>
  <si>
    <t>Totals:</t>
  </si>
  <si>
    <t>102</t>
  </si>
  <si>
    <t>AGRICULTURAL</t>
  </si>
  <si>
    <t>03-ARM'S LENGTH</t>
  </si>
  <si>
    <t>WD</t>
  </si>
  <si>
    <t>NOT INSPECTED</t>
  </si>
  <si>
    <t>Class</t>
  </si>
  <si>
    <t>Use Code</t>
  </si>
  <si>
    <t>Inspected Date</t>
  </si>
  <si>
    <t>Paved</t>
  </si>
  <si>
    <t>Gravel</t>
  </si>
  <si>
    <t>Land Table</t>
  </si>
  <si>
    <t>Other Parcels in Sale</t>
  </si>
  <si>
    <t>Liber/Page</t>
  </si>
  <si>
    <t>ECF Area</t>
  </si>
  <si>
    <t>Actual Front</t>
  </si>
  <si>
    <t>Dollars/SqFt</t>
  </si>
  <si>
    <t>Dollars/Acre</t>
  </si>
  <si>
    <t>Dollars/FF</t>
  </si>
  <si>
    <t>Total Acres</t>
  </si>
  <si>
    <t>Net Acres</t>
  </si>
  <si>
    <t>Depth</t>
  </si>
  <si>
    <t>Effec. Front</t>
  </si>
  <si>
    <t>Est. Land Value</t>
  </si>
  <si>
    <t>Land Residual</t>
  </si>
  <si>
    <t>Cur. Appraisal</t>
  </si>
  <si>
    <t>Asd/Adj. Sale</t>
  </si>
  <si>
    <t>Cur. Asmnt.</t>
  </si>
  <si>
    <t>Adj. Sale $</t>
  </si>
  <si>
    <t>Terms of Sale</t>
  </si>
  <si>
    <t>Instr.</t>
  </si>
  <si>
    <t>Sale Price</t>
  </si>
  <si>
    <t>Sale Date</t>
  </si>
  <si>
    <t>Street Address</t>
  </si>
  <si>
    <t>Parcel Number</t>
  </si>
  <si>
    <t>2023 Agricultural Land Value Analysis</t>
  </si>
  <si>
    <t>2023 Values</t>
  </si>
  <si>
    <t>03-007-014-00</t>
  </si>
  <si>
    <t>Cheshire Township</t>
  </si>
  <si>
    <t>03-006-008-30 +</t>
  </si>
  <si>
    <t>4495/379</t>
  </si>
  <si>
    <t>03-007-014-00 +</t>
  </si>
  <si>
    <t>4580/300</t>
  </si>
  <si>
    <t>03-018-012-00</t>
  </si>
  <si>
    <t>4516/976</t>
  </si>
  <si>
    <t>03-019-002-50 +</t>
  </si>
  <si>
    <t>4683/788</t>
  </si>
  <si>
    <t>03-019-005-30</t>
  </si>
  <si>
    <t>4814/825</t>
  </si>
  <si>
    <t>03-034-011-00</t>
  </si>
  <si>
    <t>4633/13</t>
  </si>
  <si>
    <t>03-034-019-00</t>
  </si>
  <si>
    <t>4580/811</t>
  </si>
  <si>
    <t>03-036-001-20</t>
  </si>
  <si>
    <t>21-003-006-10</t>
  </si>
  <si>
    <t>03-021-002-00</t>
  </si>
  <si>
    <t>21-022-001-02</t>
  </si>
  <si>
    <t>$3200/non till</t>
  </si>
  <si>
    <t>$3200/wet</t>
  </si>
  <si>
    <t>used same as non till</t>
  </si>
  <si>
    <t>Rate Group 1</t>
  </si>
  <si>
    <t>Rate Group 2</t>
  </si>
  <si>
    <t>Rate Group 3</t>
  </si>
  <si>
    <t>03-003-003-02</t>
  </si>
  <si>
    <t>4034 112TH AVE</t>
  </si>
  <si>
    <t>03101</t>
  </si>
  <si>
    <t>4652/773</t>
  </si>
  <si>
    <t>03-006-008-30</t>
  </si>
  <si>
    <t>110TH AVE</t>
  </si>
  <si>
    <t>03-006-014-00, 03-007-005-00, 03-007-002-10</t>
  </si>
  <si>
    <t>03-006-014-00</t>
  </si>
  <si>
    <t>03-006-008-30, 03-007-005-00, 03-007-002-10</t>
  </si>
  <si>
    <t>03-007-002-10</t>
  </si>
  <si>
    <t>03-006-014-00, 03-007-005-00, 03-006-008-30</t>
  </si>
  <si>
    <t>03-007-005-00</t>
  </si>
  <si>
    <t>03-006-014-00, 03-006-008-30, 03-007-002-10</t>
  </si>
  <si>
    <t>46TH ST</t>
  </si>
  <si>
    <t>03-007-015-00, 03-018-001-00</t>
  </si>
  <si>
    <t>03-007-015-00</t>
  </si>
  <si>
    <t>03-007-014-00, 03-018-001-00</t>
  </si>
  <si>
    <t>03-018-001-00</t>
  </si>
  <si>
    <t>03-007-014-00, 03-007-015-00</t>
  </si>
  <si>
    <t>4745 106TH AVE</t>
  </si>
  <si>
    <t>101</t>
  </si>
  <si>
    <t>03-019-002-50</t>
  </si>
  <si>
    <t>4678 106TH AVE</t>
  </si>
  <si>
    <t>03-019-002-60</t>
  </si>
  <si>
    <t>106TH AVE</t>
  </si>
  <si>
    <t>500 46TH ST</t>
  </si>
  <si>
    <t>40TH ST</t>
  </si>
  <si>
    <t>16 40TH ST</t>
  </si>
  <si>
    <t>3638 102ND AVE</t>
  </si>
  <si>
    <t>4390/797</t>
  </si>
  <si>
    <t>03-100-003-10</t>
  </si>
  <si>
    <t>MARY RD</t>
  </si>
  <si>
    <t>Backlot Frontage</t>
  </si>
  <si>
    <t>LAKEA</t>
  </si>
  <si>
    <t>4489/89</t>
  </si>
  <si>
    <t>03-160-001-00</t>
  </si>
  <si>
    <t>LAKE AREA - NOT LAKEFRONT</t>
  </si>
  <si>
    <t>402</t>
  </si>
  <si>
    <t>03-200-033-00</t>
  </si>
  <si>
    <t>119 PETERSON DR</t>
  </si>
  <si>
    <t>09-FAMILY</t>
  </si>
  <si>
    <t>4566/580</t>
  </si>
  <si>
    <t>401</t>
  </si>
  <si>
    <t>03-200-068-00</t>
  </si>
  <si>
    <t>175 PETERSON DR</t>
  </si>
  <si>
    <t>4776/64</t>
  </si>
  <si>
    <t>03-260-031-00</t>
  </si>
  <si>
    <t>3711 PETERSON DR</t>
  </si>
  <si>
    <t>4364/909</t>
  </si>
  <si>
    <t>03-300-012-00</t>
  </si>
  <si>
    <t>4023 EAGLE LAKE RD</t>
  </si>
  <si>
    <t>4776/886</t>
  </si>
  <si>
    <t>03-660-018-00</t>
  </si>
  <si>
    <t>111 SUNSET COVE LN</t>
  </si>
  <si>
    <t>4670/857</t>
  </si>
  <si>
    <t>03-660-019-00</t>
  </si>
  <si>
    <t>109 SUNSET COVE LN</t>
  </si>
  <si>
    <t>4368/199</t>
  </si>
  <si>
    <t>03-035-027-00</t>
  </si>
  <si>
    <t>Burton Backlot</t>
  </si>
  <si>
    <t>LC</t>
  </si>
  <si>
    <t>LAKEF</t>
  </si>
  <si>
    <t>4420/166</t>
  </si>
  <si>
    <t>03-035-030-00</t>
  </si>
  <si>
    <t>03-340-037-50</t>
  </si>
  <si>
    <t>SWAN LAKE DR</t>
  </si>
  <si>
    <t>4788/248</t>
  </si>
  <si>
    <t>03-340-038-00, 03-340-037-00</t>
  </si>
  <si>
    <t>03-603-020-00</t>
  </si>
  <si>
    <t>4245 LAKEVIEW DR</t>
  </si>
  <si>
    <t>Rhodes Backlot</t>
  </si>
  <si>
    <t>Sale represents 1.5 lots</t>
  </si>
  <si>
    <t>4649/889</t>
  </si>
  <si>
    <t>03-100-001-00</t>
  </si>
  <si>
    <t>3907 MARY RD</t>
  </si>
  <si>
    <t>Road Frontage</t>
  </si>
  <si>
    <t>4586/48</t>
  </si>
  <si>
    <t>Back Lot Frontage</t>
  </si>
  <si>
    <t>Used average increase between road and backlot to avoid overinflating value based on two few sales</t>
  </si>
  <si>
    <t>Edgewater Lot</t>
  </si>
  <si>
    <t>No Sales used decrease for Burton</t>
  </si>
  <si>
    <t>9% decrease</t>
  </si>
  <si>
    <t>03-015-011-21</t>
  </si>
  <si>
    <t>640 41ST ST</t>
  </si>
  <si>
    <t>Swan Lake</t>
  </si>
  <si>
    <t>4397/98</t>
  </si>
  <si>
    <t>LAKE FRONT PARCELS</t>
  </si>
  <si>
    <t>03-016-004-20</t>
  </si>
  <si>
    <t>4264 LAKEVIEW DR</t>
  </si>
  <si>
    <t>4781/608</t>
  </si>
  <si>
    <t>03-021-008-00</t>
  </si>
  <si>
    <t>4235 SOUTH SHORE DR</t>
  </si>
  <si>
    <t>4489/188</t>
  </si>
  <si>
    <t>03-034-017-10</t>
  </si>
  <si>
    <t>4527/837</t>
  </si>
  <si>
    <t>03-035-005-01</t>
  </si>
  <si>
    <t>3892 DEAD END RD</t>
  </si>
  <si>
    <t>4510/831</t>
  </si>
  <si>
    <t>03-035-006-00</t>
  </si>
  <si>
    <t>3884 MARY RD</t>
  </si>
  <si>
    <t>4628/507</t>
  </si>
  <si>
    <t>03-035-008-01</t>
  </si>
  <si>
    <t>3890 DEAD END RD</t>
  </si>
  <si>
    <t>4344/398</t>
  </si>
  <si>
    <t>03-035-016-01</t>
  </si>
  <si>
    <t>38TH ST</t>
  </si>
  <si>
    <t>4776/773</t>
  </si>
  <si>
    <t>03-036-009-40</t>
  </si>
  <si>
    <t>173 38TH ST</t>
  </si>
  <si>
    <t>Duck Lake</t>
  </si>
  <si>
    <t>4514/17</t>
  </si>
  <si>
    <t>03-036-014-00</t>
  </si>
  <si>
    <t>135 CARLSON DR</t>
  </si>
  <si>
    <t>4536/357</t>
  </si>
  <si>
    <t>4388/851</t>
  </si>
  <si>
    <t>03-036-024-54</t>
  </si>
  <si>
    <t>THELEN DR</t>
  </si>
  <si>
    <t>4796/382</t>
  </si>
  <si>
    <t>03-160-016-00</t>
  </si>
  <si>
    <t>3964 MARY RD</t>
  </si>
  <si>
    <t>Eagle Lake</t>
  </si>
  <si>
    <t>4697/654</t>
  </si>
  <si>
    <t>03-160-018-00</t>
  </si>
  <si>
    <t>3970 MARY RD</t>
  </si>
  <si>
    <t>4527/840</t>
  </si>
  <si>
    <t>03-180-004-50</t>
  </si>
  <si>
    <t>4000 MARY RD</t>
  </si>
  <si>
    <t>4691/219</t>
  </si>
  <si>
    <t>03-180-006-00</t>
  </si>
  <si>
    <t>3992 MARY RD</t>
  </si>
  <si>
    <t>4624/281</t>
  </si>
  <si>
    <t>03-200-003-00</t>
  </si>
  <si>
    <t>124 E PETERSON DR</t>
  </si>
  <si>
    <t>4349/368</t>
  </si>
  <si>
    <t>03-200-008-00</t>
  </si>
  <si>
    <t>PETERSON DR</t>
  </si>
  <si>
    <t>4798/248</t>
  </si>
  <si>
    <t>03-200-015-00</t>
  </si>
  <si>
    <t>146 PETERSON DR</t>
  </si>
  <si>
    <t>4800/542</t>
  </si>
  <si>
    <t>03-200-024-00</t>
  </si>
  <si>
    <t>160 PETERSON DR</t>
  </si>
  <si>
    <t>4738/508</t>
  </si>
  <si>
    <t>03-200-025-00</t>
  </si>
  <si>
    <t>162 PETERSON DR</t>
  </si>
  <si>
    <t>Duck lake</t>
  </si>
  <si>
    <t>4692/746</t>
  </si>
  <si>
    <t>03-210-006-00</t>
  </si>
  <si>
    <t>3741 MACDOUGALL ST</t>
  </si>
  <si>
    <t>4368/95</t>
  </si>
  <si>
    <t>03-210-021-00</t>
  </si>
  <si>
    <t>3719 MACDOUGALL ST</t>
  </si>
  <si>
    <t>4327/13</t>
  </si>
  <si>
    <t>03-210-028-00</t>
  </si>
  <si>
    <t>3711 MACDOUGALL ST</t>
  </si>
  <si>
    <t>4438/685</t>
  </si>
  <si>
    <t>03-270-022-00</t>
  </si>
  <si>
    <t>3703 RICHARDSON DR</t>
  </si>
  <si>
    <t>4806/803</t>
  </si>
  <si>
    <t>03-270-025-00</t>
  </si>
  <si>
    <t>3709 RICHARDSON DR</t>
  </si>
  <si>
    <t>4609/166</t>
  </si>
  <si>
    <t>03-300-013-00</t>
  </si>
  <si>
    <t>43 HILLCREST RD</t>
  </si>
  <si>
    <t>4691/319</t>
  </si>
  <si>
    <t>03-340-039-00</t>
  </si>
  <si>
    <t>4265 BURTON DR</t>
  </si>
  <si>
    <t>QC</t>
  </si>
  <si>
    <t>4728/242</t>
  </si>
  <si>
    <t>03-400-013-00</t>
  </si>
  <si>
    <t>4214 BREEZY POINT DR</t>
  </si>
  <si>
    <t>Swan Lake Channel</t>
  </si>
  <si>
    <t>4424/536</t>
  </si>
  <si>
    <t>03-540-018-00</t>
  </si>
  <si>
    <t>30 PULLIN DR</t>
  </si>
  <si>
    <t>4565/531</t>
  </si>
  <si>
    <t>03-550-010-00</t>
  </si>
  <si>
    <t>3603 BASELINE RD</t>
  </si>
  <si>
    <t>4484/459</t>
  </si>
  <si>
    <t>03-550-012-00</t>
  </si>
  <si>
    <t>3599 BASELINE RD</t>
  </si>
  <si>
    <t>4674/236</t>
  </si>
  <si>
    <t>03-600-002-00</t>
  </si>
  <si>
    <t>4244 LAKEVIEW DR</t>
  </si>
  <si>
    <t>Rhodes Lots</t>
  </si>
  <si>
    <t>4386/325</t>
  </si>
  <si>
    <t>03-600-006-00</t>
  </si>
  <si>
    <t>4234 LAKEVIEW DR</t>
  </si>
  <si>
    <t>4755/113</t>
  </si>
  <si>
    <t>03-600-007-00</t>
  </si>
  <si>
    <t>4232 LAKEVIEW DR</t>
  </si>
  <si>
    <t>4775/546</t>
  </si>
  <si>
    <t>03-660-005-00</t>
  </si>
  <si>
    <t>102 SUNSET COVE LN</t>
  </si>
  <si>
    <t>4711/864</t>
  </si>
  <si>
    <t>03-680-014-00</t>
  </si>
  <si>
    <t>4160 107TH AVE</t>
  </si>
  <si>
    <t>Lagoon</t>
  </si>
  <si>
    <t>4725/694</t>
  </si>
  <si>
    <t>Little Eagle Lake</t>
  </si>
  <si>
    <t>0-50</t>
  </si>
  <si>
    <t>51-75</t>
  </si>
  <si>
    <t>76-100</t>
  </si>
  <si>
    <t>126-150</t>
  </si>
  <si>
    <t>200+</t>
  </si>
  <si>
    <t>101-125</t>
  </si>
  <si>
    <t>no sales</t>
  </si>
  <si>
    <t>151-200</t>
  </si>
  <si>
    <t>201-225</t>
  </si>
  <si>
    <t>226-250</t>
  </si>
  <si>
    <t>Little Eagle</t>
  </si>
  <si>
    <t>Analyzed average of all increases and gave weight to frontages with multiple sales. Increased 19%</t>
  </si>
  <si>
    <t>Average Increase: 0.95%</t>
  </si>
  <si>
    <t>Average Increase: 18.71%</t>
  </si>
  <si>
    <t>201-250</t>
  </si>
  <si>
    <t>251+</t>
  </si>
  <si>
    <t>Little</t>
  </si>
  <si>
    <t>North Side Swan Lake</t>
  </si>
  <si>
    <t>Lots</t>
  </si>
  <si>
    <t>Lagoon Lots</t>
  </si>
  <si>
    <t>East Side Channel Swan Lake</t>
  </si>
  <si>
    <t>15-19</t>
  </si>
  <si>
    <t>Analyzed change between two other lakes - average 9.83%</t>
  </si>
  <si>
    <t>Took average change between all sales on Swan Lake (11.46%)</t>
  </si>
  <si>
    <t>Used 10% increase for 2023</t>
  </si>
  <si>
    <t>03-625-012-00</t>
  </si>
  <si>
    <t>3760 SCHERMERHORN LAKE DR</t>
  </si>
  <si>
    <t>SLP</t>
  </si>
  <si>
    <t>4635/273</t>
  </si>
  <si>
    <t>SCHERMERHORN LAKE PRESERVE</t>
  </si>
  <si>
    <t>03-625-013-00</t>
  </si>
  <si>
    <t>3764 SCHERMERHORN LAKE DR</t>
  </si>
  <si>
    <t>21-NOT USED/OTHER</t>
  </si>
  <si>
    <t>4680/510</t>
  </si>
  <si>
    <t>Water Frontage</t>
  </si>
  <si>
    <t>Cul De Sac</t>
  </si>
  <si>
    <t>Back Lots</t>
  </si>
  <si>
    <t>10% increase based on Swan Lake and sales</t>
  </si>
  <si>
    <t>03-021-001-97</t>
  </si>
  <si>
    <t>SOUTH SHORE DR</t>
  </si>
  <si>
    <t>03401</t>
  </si>
  <si>
    <t>4449/730</t>
  </si>
  <si>
    <t xml:space="preserve">RESIDENTIAL </t>
  </si>
  <si>
    <t>1 acre</t>
  </si>
  <si>
    <t>03-032-006-00</t>
  </si>
  <si>
    <t>177 46TH ST</t>
  </si>
  <si>
    <t>4730/112</t>
  </si>
  <si>
    <t>03-004-011-00</t>
  </si>
  <si>
    <t>4394 112TH AVE</t>
  </si>
  <si>
    <t>4452/574</t>
  </si>
  <si>
    <t>03-004-011-10</t>
  </si>
  <si>
    <t>4384 112TH AVE</t>
  </si>
  <si>
    <t>4755/114</t>
  </si>
  <si>
    <t>2 acres</t>
  </si>
  <si>
    <t>03-014-007-00</t>
  </si>
  <si>
    <t>3950 108TH AVE</t>
  </si>
  <si>
    <t>4530/475</t>
  </si>
  <si>
    <t>03-007-012-30</t>
  </si>
  <si>
    <t>4767 108TH AVE</t>
  </si>
  <si>
    <t>4771/188</t>
  </si>
  <si>
    <t>03-003-017-00</t>
  </si>
  <si>
    <t>4027 110TH AVE</t>
  </si>
  <si>
    <t>4441/807</t>
  </si>
  <si>
    <t>3 acres</t>
  </si>
  <si>
    <t>03-012-003-20</t>
  </si>
  <si>
    <t>3687 109TH AVE</t>
  </si>
  <si>
    <t>4741/526</t>
  </si>
  <si>
    <t>03-007-012-23</t>
  </si>
  <si>
    <t>4795 108TH AVE</t>
  </si>
  <si>
    <t>4424/326</t>
  </si>
  <si>
    <t>03-001-025-00</t>
  </si>
  <si>
    <t>1037 38TH ST</t>
  </si>
  <si>
    <t>4692/378</t>
  </si>
  <si>
    <t>4 acres</t>
  </si>
  <si>
    <t>03-021-016-20</t>
  </si>
  <si>
    <t>4324 105TH AVE</t>
  </si>
  <si>
    <t>4761/746</t>
  </si>
  <si>
    <t>03-018-012-40</t>
  </si>
  <si>
    <t>4499/982</t>
  </si>
  <si>
    <t>4664/587</t>
  </si>
  <si>
    <t>03-003-006-00</t>
  </si>
  <si>
    <t>4192 112TH AVE</t>
  </si>
  <si>
    <t>4706/543</t>
  </si>
  <si>
    <t>4731/962</t>
  </si>
  <si>
    <t>5 acres</t>
  </si>
  <si>
    <t>03-036-018-30</t>
  </si>
  <si>
    <t>3677 BASELINE RD</t>
  </si>
  <si>
    <t>4554/848</t>
  </si>
  <si>
    <t>4675/150</t>
  </si>
  <si>
    <t>03-033-001-10</t>
  </si>
  <si>
    <t>166 42ND ST</t>
  </si>
  <si>
    <t>4789/248</t>
  </si>
  <si>
    <t>03-024-008-50</t>
  </si>
  <si>
    <t>105TH AVE</t>
  </si>
  <si>
    <t>4763/729</t>
  </si>
  <si>
    <t>03-022-011-20</t>
  </si>
  <si>
    <t>4149 104TH AVE</t>
  </si>
  <si>
    <t>4626/61</t>
  </si>
  <si>
    <t>7 acres</t>
  </si>
  <si>
    <t>03-034-002-20</t>
  </si>
  <si>
    <t>182 40TH ST</t>
  </si>
  <si>
    <t>4802/197</t>
  </si>
  <si>
    <t>03-035-033-20</t>
  </si>
  <si>
    <t>191 40TH ST</t>
  </si>
  <si>
    <t>4788/215</t>
  </si>
  <si>
    <t>03-002-005-40</t>
  </si>
  <si>
    <t>4714/112</t>
  </si>
  <si>
    <t>10 acres</t>
  </si>
  <si>
    <t>03-022-004-00</t>
  </si>
  <si>
    <t>576 41ST ST</t>
  </si>
  <si>
    <t>4465/563</t>
  </si>
  <si>
    <t>03-026-025-00</t>
  </si>
  <si>
    <t>3937 102ND AVE</t>
  </si>
  <si>
    <t>4616/720</t>
  </si>
  <si>
    <t>03-005-015-00</t>
  </si>
  <si>
    <t>4457 110TH AVE</t>
  </si>
  <si>
    <t>4434/783</t>
  </si>
  <si>
    <t>03-032-011-20</t>
  </si>
  <si>
    <t>95 46TH ST</t>
  </si>
  <si>
    <t>4595/62</t>
  </si>
  <si>
    <t>03-026-007-01</t>
  </si>
  <si>
    <t>396 39TH ST</t>
  </si>
  <si>
    <t>4480/955</t>
  </si>
  <si>
    <t>03-029-012-20</t>
  </si>
  <si>
    <t>276 44TH ST</t>
  </si>
  <si>
    <t>4508/515</t>
  </si>
  <si>
    <t>03-011-008-10</t>
  </si>
  <si>
    <t>820 WATTS</t>
  </si>
  <si>
    <t>4549/977</t>
  </si>
  <si>
    <t>15 acres</t>
  </si>
  <si>
    <t>03-025-006-20</t>
  </si>
  <si>
    <t>331 38TH ST</t>
  </si>
  <si>
    <t>4767/229</t>
  </si>
  <si>
    <t>03-022-010-00</t>
  </si>
  <si>
    <t>546 41ST ST</t>
  </si>
  <si>
    <t xml:space="preserve">12-FROM LENDING </t>
  </si>
  <si>
    <t>4637/884</t>
  </si>
  <si>
    <t>03-026-002-00</t>
  </si>
  <si>
    <t>362 38TH ST</t>
  </si>
  <si>
    <t>4425/461</t>
  </si>
  <si>
    <t>03-025-011-11</t>
  </si>
  <si>
    <t>3729 102ND AVE</t>
  </si>
  <si>
    <t>4800/869</t>
  </si>
  <si>
    <t>20 acres</t>
  </si>
  <si>
    <t>03-031-009-01</t>
  </si>
  <si>
    <t>149 48TH ST</t>
  </si>
  <si>
    <t>4499/252</t>
  </si>
  <si>
    <t>03-034-003-00</t>
  </si>
  <si>
    <t>102ND AVE</t>
  </si>
  <si>
    <t>4459/896</t>
  </si>
  <si>
    <t>03-012-027-00</t>
  </si>
  <si>
    <t>3623 108TH AVE</t>
  </si>
  <si>
    <t>4561/801</t>
  </si>
  <si>
    <t>03-012-017-00</t>
  </si>
  <si>
    <t>865 37TH ST</t>
  </si>
  <si>
    <t>4721/428</t>
  </si>
  <si>
    <t>03-031-009-00</t>
  </si>
  <si>
    <t>03-027-005-00</t>
  </si>
  <si>
    <t>396 41ST ST</t>
  </si>
  <si>
    <t>4476/180</t>
  </si>
  <si>
    <t>03-001-019-00</t>
  </si>
  <si>
    <t>1120 37TH ST</t>
  </si>
  <si>
    <t>4740/559</t>
  </si>
  <si>
    <t>25 acres</t>
  </si>
  <si>
    <t>03-027-023-00</t>
  </si>
  <si>
    <t>40TH &amp; 102ND AVE</t>
  </si>
  <si>
    <t>4758/702</t>
  </si>
  <si>
    <t>03-012-002-00</t>
  </si>
  <si>
    <t>3638 110TH AVE</t>
  </si>
  <si>
    <t>4738/686</t>
  </si>
  <si>
    <t>30 acres</t>
  </si>
  <si>
    <t>03-033-006-00</t>
  </si>
  <si>
    <t>132 43RD ST</t>
  </si>
  <si>
    <t>4659/879</t>
  </si>
  <si>
    <t>40 acres</t>
  </si>
  <si>
    <t>03-006-012-00</t>
  </si>
  <si>
    <t>4720/125</t>
  </si>
  <si>
    <t>03-016-007-10</t>
  </si>
  <si>
    <t>719 44TH ST</t>
  </si>
  <si>
    <t>4487/884</t>
  </si>
  <si>
    <t>03-002-008-00</t>
  </si>
  <si>
    <t>112TH AVE</t>
  </si>
  <si>
    <t>4771/792</t>
  </si>
  <si>
    <t>03-035-025-00</t>
  </si>
  <si>
    <t>4538/234</t>
  </si>
  <si>
    <t>03-027-002-00</t>
  </si>
  <si>
    <t>353 41ST ST</t>
  </si>
  <si>
    <t>4543/494</t>
  </si>
  <si>
    <t>03-005-014-00</t>
  </si>
  <si>
    <t>4513 110TH AVE</t>
  </si>
  <si>
    <t>4703/698</t>
  </si>
  <si>
    <t>03-014-016-00</t>
  </si>
  <si>
    <t>39TH ST</t>
  </si>
  <si>
    <t>4747/730</t>
  </si>
  <si>
    <t>50 acres</t>
  </si>
  <si>
    <t>03-004-017-00</t>
  </si>
  <si>
    <t>4317 110TH AVE</t>
  </si>
  <si>
    <t>4641/895</t>
  </si>
  <si>
    <t>100 acres</t>
  </si>
  <si>
    <t>03-006-010-00</t>
  </si>
  <si>
    <t>4753 110TH AVE</t>
  </si>
  <si>
    <t>4567/390</t>
  </si>
  <si>
    <t>Value</t>
  </si>
  <si>
    <t>PPA</t>
  </si>
  <si>
    <t>SQ FT</t>
  </si>
  <si>
    <t>PPSQFT</t>
  </si>
  <si>
    <t>Acreage</t>
  </si>
  <si>
    <t>Value 22</t>
  </si>
  <si>
    <t>Value 23</t>
  </si>
  <si>
    <t>Inf. Adj. Sale $</t>
  </si>
  <si>
    <t>01-034-050-11</t>
  </si>
  <si>
    <t>1263 LINCOLN RD</t>
  </si>
  <si>
    <t>01201</t>
  </si>
  <si>
    <t>4309/278</t>
  </si>
  <si>
    <t>01-034-054-00, 01-034-056-00</t>
  </si>
  <si>
    <t>COMMERCIAL</t>
  </si>
  <si>
    <t>201</t>
  </si>
  <si>
    <t>01-034-037-00</t>
  </si>
  <si>
    <t>1295 LINCOLN RD</t>
  </si>
  <si>
    <t>4411/196</t>
  </si>
  <si>
    <t>01-002-018-00</t>
  </si>
  <si>
    <t>2607 122ND AVE</t>
  </si>
  <si>
    <t>401N</t>
  </si>
  <si>
    <t>4816/555</t>
  </si>
  <si>
    <t>202</t>
  </si>
  <si>
    <t>01-032-068-10</t>
  </si>
  <si>
    <t>1212 32ND ST</t>
  </si>
  <si>
    <t>4649/818</t>
  </si>
  <si>
    <t>4824/42</t>
  </si>
  <si>
    <t>17-024-084-00</t>
  </si>
  <si>
    <t>M-89 HWY</t>
  </si>
  <si>
    <t>OTS-C</t>
  </si>
  <si>
    <t>4562/325</t>
  </si>
  <si>
    <t xml:space="preserve">OTSEGO TOWNSHIP COMM </t>
  </si>
  <si>
    <t>COM VAC</t>
  </si>
  <si>
    <t>21-001-042-24</t>
  </si>
  <si>
    <t>1094 M-89 HWY</t>
  </si>
  <si>
    <t>21201</t>
  </si>
  <si>
    <t>4314/743</t>
  </si>
  <si>
    <t>21-002-007-00</t>
  </si>
  <si>
    <t>1177 LINCOLN RD</t>
  </si>
  <si>
    <t>4760/601</t>
  </si>
  <si>
    <t>21-002-014-10</t>
  </si>
  <si>
    <t>LINCOLN RD</t>
  </si>
  <si>
    <t>4472/256</t>
  </si>
  <si>
    <t>21-032-031-10</t>
  </si>
  <si>
    <t>189 M-40</t>
  </si>
  <si>
    <t>4673/518</t>
  </si>
  <si>
    <t>21-032-031-00</t>
  </si>
  <si>
    <t>23-024-001-50</t>
  </si>
  <si>
    <t>12TH ST</t>
  </si>
  <si>
    <t>WAT-C</t>
  </si>
  <si>
    <t>4420/662</t>
  </si>
  <si>
    <t>23-024-001-60</t>
  </si>
  <si>
    <t xml:space="preserve">WATSON TOWNSHIP IND </t>
  </si>
  <si>
    <t>03-270-003-00</t>
  </si>
  <si>
    <t>BASELINE RD</t>
  </si>
  <si>
    <t>03201</t>
  </si>
  <si>
    <t>4527/960</t>
  </si>
  <si>
    <t>03-270-001-00</t>
  </si>
  <si>
    <t>Eagle Creek</t>
  </si>
  <si>
    <t>Com</t>
  </si>
  <si>
    <t>Excess</t>
  </si>
  <si>
    <t>$4500/tillable</t>
  </si>
  <si>
    <t>Lakefrontage</t>
  </si>
  <si>
    <t>Res Site</t>
  </si>
  <si>
    <t>Golf Course</t>
  </si>
  <si>
    <t>21-008-023-10</t>
  </si>
  <si>
    <t>842 M-40</t>
  </si>
  <si>
    <t>124TH AVE</t>
  </si>
  <si>
    <t>COMM</t>
  </si>
  <si>
    <t>24-036-010-00</t>
  </si>
  <si>
    <t>137 124TH AVE</t>
  </si>
  <si>
    <t>4004-221</t>
  </si>
  <si>
    <t>24-036-017-00</t>
  </si>
  <si>
    <t>81 124TH AVE</t>
  </si>
  <si>
    <t>4092-525</t>
  </si>
  <si>
    <t>24-036-016-00</t>
  </si>
  <si>
    <t>4295-942</t>
  </si>
  <si>
    <t>*Used 200+ frontage</t>
  </si>
  <si>
    <t>*Value at 35% of commercial acreage</t>
  </si>
  <si>
    <t>Rural Ind</t>
  </si>
  <si>
    <t>Consumers</t>
  </si>
  <si>
    <t>Non Tillable</t>
  </si>
  <si>
    <t>*Used 10% increase for 2023</t>
  </si>
  <si>
    <t>Took average between all sales on water</t>
  </si>
  <si>
    <t>Channel</t>
  </si>
  <si>
    <t>*Swampier area, used half of increase for 2023 (5%)</t>
  </si>
  <si>
    <t>Asd. when Sold</t>
  </si>
  <si>
    <t>05-160-006-00</t>
  </si>
  <si>
    <t>4259 DORR COMMERCE DR</t>
  </si>
  <si>
    <t>DOR-I</t>
  </si>
  <si>
    <t>4539/708</t>
  </si>
  <si>
    <t xml:space="preserve">DORR TOWNSHIP IND </t>
  </si>
  <si>
    <t>IND VAC</t>
  </si>
  <si>
    <t>05-160-007-00</t>
  </si>
  <si>
    <t>WALNUT DALE DR</t>
  </si>
  <si>
    <t>4573/131</t>
  </si>
  <si>
    <t>09-026-007-00</t>
  </si>
  <si>
    <t>126TH AVE</t>
  </si>
  <si>
    <t>HEA-I</t>
  </si>
  <si>
    <t>4494/152</t>
  </si>
  <si>
    <t>HEATH TOWNSHIP AG&amp; RES ECF</t>
  </si>
  <si>
    <t>13-006-005-40</t>
  </si>
  <si>
    <t>147TH AVE</t>
  </si>
  <si>
    <t>LEI-I</t>
  </si>
  <si>
    <t>4561/942</t>
  </si>
  <si>
    <t xml:space="preserve">LEIGHTON TOWNSHIP IND </t>
  </si>
  <si>
    <t>13-018-005-00</t>
  </si>
  <si>
    <t>MORREN ST</t>
  </si>
  <si>
    <t>4594/63</t>
  </si>
  <si>
    <t>13-018-005-20</t>
  </si>
  <si>
    <t>4562/377</t>
  </si>
  <si>
    <t>13-265-013-00</t>
  </si>
  <si>
    <t>1133 MORREN CT</t>
  </si>
  <si>
    <t>4557/834</t>
  </si>
  <si>
    <t>AG Rates</t>
  </si>
  <si>
    <t>08-023-001-10</t>
  </si>
  <si>
    <t>4617/899</t>
  </si>
  <si>
    <t>19-005-005-00</t>
  </si>
  <si>
    <t>4644/453</t>
  </si>
  <si>
    <t>23-024-002-00</t>
  </si>
  <si>
    <t>4358/703</t>
  </si>
</sst>
</file>

<file path=xl/styles.xml><?xml version="1.0" encoding="utf-8"?>
<styleSheet xmlns="http://schemas.openxmlformats.org/spreadsheetml/2006/main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mm/dd/yyyy"/>
    <numFmt numFmtId="166" formatCode="0.0"/>
    <numFmt numFmtId="167" formatCode="_(&quot;$&quot;* #,##0_);_(&quot;$&quot;* \(#,##0\);_(&quot;$&quot;* &quot;-&quot;??_);_(@_)"/>
    <numFmt numFmtId="168" formatCode="mm/dd/yy;@"/>
    <numFmt numFmtId="169" formatCode="#0.0_);[Red]\(#0.0\)"/>
    <numFmt numFmtId="170" formatCode="#,##0.0_);[Red]\(#,##0.0\)"/>
    <numFmt numFmtId="171" formatCode="#0.00_);[Red]\(#0.00\)"/>
    <numFmt numFmtId="172" formatCode="mm/dd/yy"/>
    <numFmt numFmtId="173" formatCode="&quot;$&quot;#,##0_);[Red]\(&quot;$&quot;#,##0.00\)"/>
    <numFmt numFmtId="174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Bahnschrift SemiLight SemiConde"/>
      <family val="2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8080"/>
        <bgColor rgb="FF000000"/>
      </patternFill>
    </fill>
    <fill>
      <patternFill patternType="solid">
        <fgColor rgb="FFA7E4CD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164" fontId="2" fillId="0" borderId="1" xfId="0" applyNumberFormat="1" applyFont="1" applyBorder="1"/>
    <xf numFmtId="0" fontId="5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0" xfId="0" applyFont="1"/>
    <xf numFmtId="165" fontId="4" fillId="0" borderId="0" xfId="0" applyNumberFormat="1" applyFont="1"/>
    <xf numFmtId="14" fontId="4" fillId="0" borderId="0" xfId="0" applyNumberFormat="1" applyFont="1"/>
    <xf numFmtId="6" fontId="4" fillId="0" borderId="0" xfId="0" applyNumberFormat="1" applyFont="1"/>
    <xf numFmtId="166" fontId="3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2" fillId="0" borderId="0" xfId="0" applyNumberFormat="1" applyFont="1"/>
    <xf numFmtId="167" fontId="0" fillId="0" borderId="0" xfId="1" applyNumberFormat="1" applyFont="1"/>
    <xf numFmtId="0" fontId="4" fillId="0" borderId="0" xfId="0" quotePrefix="1" applyFont="1"/>
    <xf numFmtId="164" fontId="3" fillId="0" borderId="1" xfId="0" applyNumberFormat="1" applyFont="1" applyBorder="1"/>
    <xf numFmtId="0" fontId="7" fillId="0" borderId="0" xfId="0" applyFont="1"/>
    <xf numFmtId="168" fontId="7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center"/>
    </xf>
    <xf numFmtId="166" fontId="2" fillId="0" borderId="0" xfId="0" applyNumberFormat="1" applyFont="1"/>
    <xf numFmtId="164" fontId="3" fillId="0" borderId="0" xfId="0" quotePrefix="1" applyNumberFormat="1" applyFont="1"/>
    <xf numFmtId="0" fontId="4" fillId="0" borderId="0" xfId="0" applyFont="1" applyAlignment="1">
      <alignment horizontal="center"/>
    </xf>
    <xf numFmtId="165" fontId="6" fillId="0" borderId="0" xfId="0" applyNumberFormat="1" applyFont="1"/>
    <xf numFmtId="0" fontId="6" fillId="0" borderId="0" xfId="0" quotePrefix="1" applyFont="1"/>
    <xf numFmtId="0" fontId="8" fillId="0" borderId="0" xfId="0" applyFont="1"/>
    <xf numFmtId="6" fontId="6" fillId="0" borderId="0" xfId="0" applyNumberFormat="1" applyFont="1"/>
    <xf numFmtId="0" fontId="0" fillId="0" borderId="0" xfId="0" applyAlignment="1">
      <alignment horizontal="right"/>
    </xf>
    <xf numFmtId="40" fontId="0" fillId="0" borderId="0" xfId="0" applyNumberFormat="1"/>
    <xf numFmtId="8" fontId="0" fillId="0" borderId="0" xfId="0" applyNumberFormat="1"/>
    <xf numFmtId="6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64" fontId="3" fillId="0" borderId="11" xfId="0" applyNumberFormat="1" applyFont="1" applyBorder="1"/>
    <xf numFmtId="168" fontId="4" fillId="0" borderId="0" xfId="0" applyNumberFormat="1" applyFont="1"/>
    <xf numFmtId="167" fontId="3" fillId="0" borderId="0" xfId="1" applyNumberFormat="1" applyFont="1"/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9" fillId="3" borderId="10" xfId="0" applyFont="1" applyFill="1" applyBorder="1"/>
    <xf numFmtId="0" fontId="9" fillId="3" borderId="10" xfId="0" applyFont="1" applyFill="1" applyBorder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9" fillId="3" borderId="9" xfId="0" applyFont="1" applyFill="1" applyBorder="1"/>
    <xf numFmtId="0" fontId="9" fillId="3" borderId="9" xfId="0" applyFont="1" applyFill="1" applyBorder="1" applyAlignment="1">
      <alignment horizontal="right"/>
    </xf>
    <xf numFmtId="6" fontId="10" fillId="4" borderId="0" xfId="0" applyNumberFormat="1" applyFont="1" applyFill="1" applyAlignment="1">
      <alignment horizontal="center"/>
    </xf>
    <xf numFmtId="6" fontId="9" fillId="3" borderId="10" xfId="0" applyNumberFormat="1" applyFont="1" applyFill="1" applyBorder="1"/>
    <xf numFmtId="6" fontId="9" fillId="3" borderId="0" xfId="0" applyNumberFormat="1" applyFont="1" applyFill="1"/>
    <xf numFmtId="6" fontId="9" fillId="3" borderId="9" xfId="0" applyNumberFormat="1" applyFont="1" applyFill="1" applyBorder="1"/>
    <xf numFmtId="171" fontId="10" fillId="4" borderId="0" xfId="0" applyNumberFormat="1" applyFont="1" applyFill="1" applyAlignment="1">
      <alignment horizontal="center"/>
    </xf>
    <xf numFmtId="171" fontId="9" fillId="3" borderId="10" xfId="0" applyNumberFormat="1" applyFont="1" applyFill="1" applyBorder="1"/>
    <xf numFmtId="171" fontId="9" fillId="3" borderId="0" xfId="0" applyNumberFormat="1" applyFont="1" applyFill="1"/>
    <xf numFmtId="171" fontId="9" fillId="3" borderId="9" xfId="0" applyNumberFormat="1" applyFont="1" applyFill="1" applyBorder="1"/>
    <xf numFmtId="172" fontId="10" fillId="4" borderId="0" xfId="0" applyNumberFormat="1" applyFont="1" applyFill="1" applyAlignment="1">
      <alignment horizontal="center"/>
    </xf>
    <xf numFmtId="172" fontId="9" fillId="3" borderId="10" xfId="0" applyNumberFormat="1" applyFont="1" applyFill="1" applyBorder="1"/>
    <xf numFmtId="172" fontId="9" fillId="3" borderId="0" xfId="0" applyNumberFormat="1" applyFont="1" applyFill="1"/>
    <xf numFmtId="172" fontId="9" fillId="3" borderId="9" xfId="0" applyNumberFormat="1" applyFont="1" applyFill="1" applyBorder="1"/>
    <xf numFmtId="170" fontId="10" fillId="4" borderId="0" xfId="0" applyNumberFormat="1" applyFont="1" applyFill="1" applyAlignment="1">
      <alignment horizontal="center"/>
    </xf>
    <xf numFmtId="170" fontId="9" fillId="3" borderId="10" xfId="0" applyNumberFormat="1" applyFont="1" applyFill="1" applyBorder="1"/>
    <xf numFmtId="170" fontId="9" fillId="3" borderId="0" xfId="0" applyNumberFormat="1" applyFont="1" applyFill="1"/>
    <xf numFmtId="169" fontId="10" fillId="4" borderId="0" xfId="0" applyNumberFormat="1" applyFont="1" applyFill="1" applyAlignment="1">
      <alignment horizontal="center"/>
    </xf>
    <xf numFmtId="169" fontId="9" fillId="3" borderId="10" xfId="0" applyNumberFormat="1" applyFont="1" applyFill="1" applyBorder="1"/>
    <xf numFmtId="169" fontId="9" fillId="3" borderId="0" xfId="0" applyNumberFormat="1" applyFont="1" applyFill="1"/>
    <xf numFmtId="169" fontId="9" fillId="3" borderId="9" xfId="0" applyNumberFormat="1" applyFont="1" applyFill="1" applyBorder="1"/>
    <xf numFmtId="40" fontId="10" fillId="4" borderId="0" xfId="0" applyNumberFormat="1" applyFont="1" applyFill="1" applyAlignment="1">
      <alignment horizontal="center"/>
    </xf>
    <xf numFmtId="40" fontId="9" fillId="3" borderId="10" xfId="0" applyNumberFormat="1" applyFont="1" applyFill="1" applyBorder="1"/>
    <xf numFmtId="40" fontId="9" fillId="3" borderId="0" xfId="0" applyNumberFormat="1" applyFont="1" applyFill="1"/>
    <xf numFmtId="40" fontId="9" fillId="3" borderId="9" xfId="0" applyNumberFormat="1" applyFont="1" applyFill="1" applyBorder="1"/>
    <xf numFmtId="8" fontId="10" fillId="4" borderId="0" xfId="0" applyNumberFormat="1" applyFont="1" applyFill="1" applyAlignment="1">
      <alignment horizontal="center"/>
    </xf>
    <xf numFmtId="8" fontId="9" fillId="3" borderId="10" xfId="0" applyNumberFormat="1" applyFont="1" applyFill="1" applyBorder="1"/>
    <xf numFmtId="8" fontId="9" fillId="3" borderId="0" xfId="0" applyNumberFormat="1" applyFont="1" applyFill="1"/>
    <xf numFmtId="8" fontId="9" fillId="3" borderId="9" xfId="0" applyNumberFormat="1" applyFont="1" applyFill="1" applyBorder="1"/>
    <xf numFmtId="173" fontId="9" fillId="3" borderId="9" xfId="0" applyNumberFormat="1" applyFont="1" applyFill="1" applyBorder="1"/>
    <xf numFmtId="170" fontId="0" fillId="0" borderId="9" xfId="0" applyNumberFormat="1" applyBorder="1"/>
    <xf numFmtId="6" fontId="0" fillId="0" borderId="9" xfId="0" applyNumberForma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0" fontId="12" fillId="0" borderId="1" xfId="0" applyFont="1" applyBorder="1"/>
    <xf numFmtId="2" fontId="13" fillId="0" borderId="0" xfId="0" applyNumberFormat="1" applyFont="1" applyAlignment="1">
      <alignment horizontal="left"/>
    </xf>
    <xf numFmtId="171" fontId="12" fillId="0" borderId="0" xfId="0" applyNumberFormat="1" applyFont="1"/>
    <xf numFmtId="13" fontId="0" fillId="0" borderId="0" xfId="1" applyNumberFormat="1" applyFont="1" applyAlignment="1">
      <alignment horizontal="center"/>
    </xf>
    <xf numFmtId="9" fontId="0" fillId="0" borderId="0" xfId="2" applyFont="1"/>
    <xf numFmtId="9" fontId="0" fillId="0" borderId="0" xfId="0" applyNumberFormat="1"/>
    <xf numFmtId="164" fontId="0" fillId="0" borderId="0" xfId="1" applyNumberFormat="1" applyFont="1" applyAlignment="1">
      <alignment horizontal="center"/>
    </xf>
    <xf numFmtId="167" fontId="0" fillId="0" borderId="12" xfId="1" applyNumberFormat="1" applyFont="1" applyBorder="1"/>
    <xf numFmtId="40" fontId="11" fillId="0" borderId="0" xfId="0" applyNumberFormat="1" applyFont="1" applyAlignment="1">
      <alignment horizontal="center"/>
    </xf>
    <xf numFmtId="0" fontId="0" fillId="0" borderId="13" xfId="0" applyBorder="1"/>
    <xf numFmtId="0" fontId="0" fillId="0" borderId="14" xfId="0" applyBorder="1"/>
    <xf numFmtId="172" fontId="0" fillId="0" borderId="14" xfId="0" applyNumberFormat="1" applyBorder="1"/>
    <xf numFmtId="6" fontId="0" fillId="0" borderId="14" xfId="0" applyNumberFormat="1" applyBorder="1"/>
    <xf numFmtId="171" fontId="0" fillId="0" borderId="14" xfId="0" applyNumberFormat="1" applyBorder="1"/>
    <xf numFmtId="170" fontId="0" fillId="0" borderId="14" xfId="0" applyNumberFormat="1" applyBorder="1"/>
    <xf numFmtId="169" fontId="0" fillId="0" borderId="14" xfId="0" applyNumberFormat="1" applyBorder="1"/>
    <xf numFmtId="40" fontId="0" fillId="0" borderId="14" xfId="0" applyNumberFormat="1" applyBorder="1"/>
    <xf numFmtId="8" fontId="0" fillId="0" borderId="14" xfId="0" applyNumberFormat="1" applyBorder="1"/>
    <xf numFmtId="0" fontId="0" fillId="0" borderId="14" xfId="0" quotePrefix="1" applyBorder="1" applyAlignment="1">
      <alignment horizontal="right"/>
    </xf>
    <xf numFmtId="14" fontId="0" fillId="0" borderId="14" xfId="0" applyNumberFormat="1" applyBorder="1"/>
    <xf numFmtId="0" fontId="0" fillId="0" borderId="15" xfId="0" quotePrefix="1" applyBorder="1"/>
    <xf numFmtId="0" fontId="12" fillId="5" borderId="12" xfId="0" applyFont="1" applyFill="1" applyBorder="1"/>
    <xf numFmtId="0" fontId="12" fillId="6" borderId="12" xfId="0" applyFont="1" applyFill="1" applyBorder="1"/>
    <xf numFmtId="164" fontId="0" fillId="0" borderId="12" xfId="0" applyNumberFormat="1" applyBorder="1" applyAlignment="1">
      <alignment horizontal="center"/>
    </xf>
    <xf numFmtId="0" fontId="13" fillId="0" borderId="0" xfId="0" applyFont="1"/>
    <xf numFmtId="0" fontId="0" fillId="7" borderId="12" xfId="0" applyFill="1" applyBorder="1"/>
    <xf numFmtId="6" fontId="0" fillId="0" borderId="12" xfId="0" applyNumberFormat="1" applyBorder="1"/>
    <xf numFmtId="0" fontId="0" fillId="8" borderId="12" xfId="0" applyFill="1" applyBorder="1"/>
    <xf numFmtId="174" fontId="0" fillId="0" borderId="0" xfId="0" applyNumberFormat="1"/>
    <xf numFmtId="0" fontId="0" fillId="0" borderId="1" xfId="0" applyBorder="1" applyAlignment="1">
      <alignment horizontal="center"/>
    </xf>
    <xf numFmtId="10" fontId="0" fillId="0" borderId="0" xfId="2" applyNumberFormat="1" applyFont="1"/>
    <xf numFmtId="0" fontId="13" fillId="0" borderId="1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13" fillId="0" borderId="1" xfId="0" applyFont="1" applyBorder="1" applyAlignment="1">
      <alignment horizontal="center"/>
    </xf>
    <xf numFmtId="10" fontId="13" fillId="0" borderId="0" xfId="2" applyNumberFormat="1" applyFont="1"/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0" fontId="0" fillId="0" borderId="17" xfId="2" applyNumberFormat="1" applyFon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40" fontId="0" fillId="0" borderId="9" xfId="0" applyNumberFormat="1" applyBorder="1"/>
    <xf numFmtId="6" fontId="12" fillId="0" borderId="0" xfId="0" applyNumberFormat="1" applyFont="1"/>
    <xf numFmtId="40" fontId="12" fillId="0" borderId="0" xfId="0" applyNumberFormat="1" applyFont="1"/>
    <xf numFmtId="40" fontId="0" fillId="0" borderId="1" xfId="0" applyNumberFormat="1" applyBorder="1"/>
    <xf numFmtId="164" fontId="12" fillId="0" borderId="1" xfId="0" applyNumberFormat="1" applyFont="1" applyBorder="1"/>
    <xf numFmtId="8" fontId="12" fillId="0" borderId="12" xfId="0" applyNumberFormat="1" applyFont="1" applyBorder="1" applyAlignment="1">
      <alignment horizontal="center"/>
    </xf>
    <xf numFmtId="40" fontId="9" fillId="3" borderId="1" xfId="0" applyNumberFormat="1" applyFont="1" applyFill="1" applyBorder="1"/>
    <xf numFmtId="164" fontId="0" fillId="0" borderId="0" xfId="0" applyNumberFormat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8" fillId="10" borderId="0" xfId="0" applyFont="1" applyFill="1"/>
    <xf numFmtId="14" fontId="18" fillId="10" borderId="0" xfId="0" applyNumberFormat="1" applyFont="1" applyFill="1"/>
    <xf numFmtId="6" fontId="18" fillId="10" borderId="0" xfId="0" applyNumberFormat="1" applyFont="1" applyFill="1"/>
    <xf numFmtId="8" fontId="18" fillId="10" borderId="0" xfId="0" applyNumberFormat="1" applyFont="1" applyFill="1"/>
    <xf numFmtId="0" fontId="18" fillId="10" borderId="0" xfId="0" applyFont="1" applyFill="1" applyAlignment="1">
      <alignment horizontal="right"/>
    </xf>
    <xf numFmtId="0" fontId="18" fillId="0" borderId="0" xfId="0" applyFont="1"/>
    <xf numFmtId="8" fontId="9" fillId="3" borderId="12" xfId="0" applyNumberFormat="1" applyFont="1" applyFill="1" applyBorder="1"/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11" borderId="0" xfId="0" applyFill="1"/>
    <xf numFmtId="172" fontId="0" fillId="11" borderId="0" xfId="0" applyNumberFormat="1" applyFill="1"/>
    <xf numFmtId="6" fontId="0" fillId="11" borderId="0" xfId="0" applyNumberFormat="1" applyFill="1"/>
    <xf numFmtId="171" fontId="0" fillId="11" borderId="0" xfId="0" applyNumberFormat="1" applyFill="1"/>
    <xf numFmtId="170" fontId="0" fillId="11" borderId="0" xfId="0" applyNumberFormat="1" applyFill="1"/>
    <xf numFmtId="169" fontId="0" fillId="11" borderId="0" xfId="0" applyNumberFormat="1" applyFill="1"/>
    <xf numFmtId="40" fontId="0" fillId="11" borderId="0" xfId="0" applyNumberFormat="1" applyFill="1"/>
    <xf numFmtId="8" fontId="0" fillId="11" borderId="0" xfId="0" applyNumberFormat="1" applyFill="1"/>
    <xf numFmtId="0" fontId="0" fillId="11" borderId="0" xfId="0" quotePrefix="1" applyFill="1" applyAlignment="1">
      <alignment horizontal="right"/>
    </xf>
    <xf numFmtId="0" fontId="0" fillId="11" borderId="0" xfId="0" quotePrefix="1" applyFill="1"/>
    <xf numFmtId="8" fontId="12" fillId="0" borderId="12" xfId="0" applyNumberFormat="1" applyFont="1" applyBorder="1"/>
    <xf numFmtId="164" fontId="0" fillId="0" borderId="1" xfId="1" applyNumberFormat="1" applyFont="1" applyBorder="1" applyAlignment="1">
      <alignment horizontal="center"/>
    </xf>
    <xf numFmtId="0" fontId="19" fillId="0" borderId="0" xfId="0" applyFont="1"/>
    <xf numFmtId="0" fontId="10" fillId="12" borderId="0" xfId="0" applyFont="1" applyFill="1" applyAlignment="1">
      <alignment horizontal="center"/>
    </xf>
    <xf numFmtId="0" fontId="10" fillId="12" borderId="0" xfId="0" applyFont="1" applyFill="1" applyAlignment="1">
      <alignment horizontal="right"/>
    </xf>
    <xf numFmtId="0" fontId="18" fillId="0" borderId="0" xfId="0" applyFont="1" applyAlignment="1">
      <alignment horizontal="center"/>
    </xf>
    <xf numFmtId="0" fontId="18" fillId="13" borderId="0" xfId="0" applyFont="1" applyFill="1"/>
    <xf numFmtId="14" fontId="18" fillId="13" borderId="0" xfId="0" applyNumberFormat="1" applyFont="1" applyFill="1"/>
    <xf numFmtId="6" fontId="18" fillId="13" borderId="0" xfId="0" applyNumberFormat="1" applyFont="1" applyFill="1"/>
    <xf numFmtId="8" fontId="18" fillId="13" borderId="0" xfId="0" applyNumberFormat="1" applyFont="1" applyFill="1"/>
    <xf numFmtId="0" fontId="18" fillId="13" borderId="0" xfId="0" applyFont="1" applyFill="1" applyAlignment="1">
      <alignment horizontal="right"/>
    </xf>
    <xf numFmtId="0" fontId="9" fillId="10" borderId="10" xfId="0" applyFont="1" applyFill="1" applyBorder="1"/>
    <xf numFmtId="6" fontId="9" fillId="10" borderId="10" xfId="0" applyNumberFormat="1" applyFont="1" applyFill="1" applyBorder="1"/>
    <xf numFmtId="0" fontId="9" fillId="10" borderId="0" xfId="0" applyFont="1" applyFill="1"/>
    <xf numFmtId="4" fontId="9" fillId="10" borderId="10" xfId="0" applyNumberFormat="1" applyFont="1" applyFill="1" applyBorder="1"/>
    <xf numFmtId="0" fontId="9" fillId="10" borderId="10" xfId="0" applyFont="1" applyFill="1" applyBorder="1" applyAlignment="1">
      <alignment horizontal="right"/>
    </xf>
    <xf numFmtId="0" fontId="9" fillId="10" borderId="0" xfId="0" applyFont="1" applyFill="1" applyAlignment="1">
      <alignment horizontal="right"/>
    </xf>
    <xf numFmtId="0" fontId="9" fillId="10" borderId="9" xfId="0" applyFont="1" applyFill="1" applyBorder="1"/>
    <xf numFmtId="6" fontId="9" fillId="10" borderId="9" xfId="0" applyNumberFormat="1" applyFont="1" applyFill="1" applyBorder="1"/>
    <xf numFmtId="4" fontId="9" fillId="10" borderId="9" xfId="0" applyNumberFormat="1" applyFont="1" applyFill="1" applyBorder="1"/>
    <xf numFmtId="8" fontId="9" fillId="10" borderId="9" xfId="0" applyNumberFormat="1" applyFont="1" applyFill="1" applyBorder="1"/>
    <xf numFmtId="0" fontId="9" fillId="10" borderId="9" xfId="0" applyFont="1" applyFill="1" applyBorder="1" applyAlignment="1">
      <alignment horizontal="right"/>
    </xf>
    <xf numFmtId="8" fontId="0" fillId="0" borderId="1" xfId="0" applyNumberFormat="1" applyBorder="1"/>
    <xf numFmtId="0" fontId="12" fillId="0" borderId="0" xfId="0" applyFont="1"/>
    <xf numFmtId="0" fontId="0" fillId="2" borderId="8" xfId="0" applyFill="1" applyBorder="1" applyAlignment="1">
      <alignment horizontal="center"/>
    </xf>
    <xf numFmtId="0" fontId="18" fillId="10" borderId="0" xfId="0" applyFont="1" applyFill="1"/>
    <xf numFmtId="0" fontId="0" fillId="2" borderId="0" xfId="0" applyFill="1" applyAlignment="1">
      <alignment horizontal="center"/>
    </xf>
    <xf numFmtId="0" fontId="18" fillId="13" borderId="0" xfId="0" applyFont="1" applyFill="1"/>
    <xf numFmtId="0" fontId="9" fillId="10" borderId="9" xfId="0" applyFont="1" applyFill="1" applyBorder="1"/>
    <xf numFmtId="0" fontId="18" fillId="10" borderId="8" xfId="0" applyFont="1" applyFill="1" applyBorder="1"/>
    <xf numFmtId="0" fontId="9" fillId="10" borderId="10" xfId="0" applyFont="1" applyFill="1" applyBorder="1"/>
    <xf numFmtId="0" fontId="9" fillId="10" borderId="0" xfId="0" applyFont="1" applyFill="1"/>
    <xf numFmtId="0" fontId="0" fillId="0" borderId="0" xfId="0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16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6" fontId="12" fillId="0" borderId="13" xfId="0" applyNumberFormat="1" applyFont="1" applyBorder="1" applyAlignment="1">
      <alignment horizontal="center"/>
    </xf>
    <xf numFmtId="6" fontId="12" fillId="0" borderId="14" xfId="0" applyNumberFormat="1" applyFont="1" applyBorder="1" applyAlignment="1">
      <alignment horizontal="center"/>
    </xf>
    <xf numFmtId="6" fontId="12" fillId="0" borderId="15" xfId="0" applyNumberFormat="1" applyFont="1" applyBorder="1" applyAlignment="1">
      <alignment horizontal="center"/>
    </xf>
    <xf numFmtId="40" fontId="12" fillId="0" borderId="13" xfId="0" applyNumberFormat="1" applyFont="1" applyBorder="1" applyAlignment="1">
      <alignment horizontal="center"/>
    </xf>
    <xf numFmtId="40" fontId="12" fillId="0" borderId="14" xfId="0" applyNumberFormat="1" applyFont="1" applyBorder="1" applyAlignment="1">
      <alignment horizontal="center"/>
    </xf>
    <xf numFmtId="40" fontId="12" fillId="0" borderId="15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2"/>
  <sheetViews>
    <sheetView workbookViewId="0">
      <selection activeCell="O22" sqref="O22"/>
    </sheetView>
  </sheetViews>
  <sheetFormatPr defaultRowHeight="14.4"/>
  <cols>
    <col min="1" max="1" width="14.33203125" bestFit="1" customWidth="1"/>
    <col min="2" max="2" width="19.5546875" bestFit="1" customWidth="1"/>
    <col min="3" max="3" width="10.109375" bestFit="1" customWidth="1"/>
    <col min="4" max="4" width="12.33203125" customWidth="1"/>
    <col min="5" max="5" width="9.44140625" bestFit="1" customWidth="1"/>
    <col min="6" max="6" width="13.5546875" bestFit="1" customWidth="1"/>
    <col min="7" max="7" width="11.5546875" customWidth="1"/>
    <col min="8" max="8" width="14.6640625" bestFit="1" customWidth="1"/>
    <col min="9" max="9" width="12.88671875" bestFit="1" customWidth="1"/>
    <col min="11" max="11" width="14.33203125" bestFit="1" customWidth="1"/>
    <col min="12" max="12" width="23.33203125" customWidth="1"/>
    <col min="15" max="15" width="12.6640625" bestFit="1" customWidth="1"/>
    <col min="16" max="16" width="12.5546875" bestFit="1" customWidth="1"/>
    <col min="17" max="17" width="14.109375" bestFit="1" customWidth="1"/>
  </cols>
  <sheetData>
    <row r="1" spans="1:59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>
      <c r="A2" s="1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AG2" s="3"/>
      <c r="AX2" s="3"/>
      <c r="AZ2" s="3"/>
    </row>
    <row r="3" spans="1:5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59">
      <c r="A4" s="1"/>
      <c r="B4" s="4"/>
      <c r="C4" s="2"/>
      <c r="D4" s="1" t="s">
        <v>0</v>
      </c>
      <c r="E4" s="5">
        <v>2300</v>
      </c>
      <c r="F4" s="2"/>
      <c r="G4" s="1"/>
      <c r="H4" s="5"/>
      <c r="I4" s="6"/>
      <c r="J4" s="4"/>
      <c r="K4" s="6"/>
      <c r="L4" s="6"/>
    </row>
    <row r="5" spans="1:59">
      <c r="A5" s="1" t="s">
        <v>1</v>
      </c>
      <c r="B5" s="7">
        <v>2400</v>
      </c>
      <c r="C5" s="2"/>
      <c r="D5" s="1"/>
      <c r="E5" s="4"/>
      <c r="F5" s="2"/>
      <c r="G5" s="1"/>
      <c r="H5" s="4"/>
      <c r="I5" s="6"/>
      <c r="J5" s="2"/>
      <c r="K5" s="6"/>
      <c r="L5" s="6"/>
    </row>
    <row r="6" spans="1:59">
      <c r="A6" s="1" t="s">
        <v>2</v>
      </c>
      <c r="B6" s="4"/>
      <c r="C6" s="2"/>
      <c r="D6" s="1"/>
      <c r="E6" s="4"/>
      <c r="F6" s="2"/>
      <c r="G6" s="1" t="s">
        <v>3</v>
      </c>
      <c r="H6" s="5">
        <v>4000</v>
      </c>
      <c r="I6" s="8" t="s">
        <v>2</v>
      </c>
      <c r="J6" s="2"/>
      <c r="K6" s="6"/>
      <c r="L6" s="6"/>
    </row>
    <row r="7" spans="1:59" ht="15" thickBot="1">
      <c r="A7" s="2"/>
      <c r="B7" s="2"/>
      <c r="C7" s="6"/>
      <c r="D7" s="6"/>
      <c r="E7" s="2"/>
      <c r="F7" s="2"/>
      <c r="G7" s="2"/>
      <c r="H7" s="2" t="s">
        <v>2</v>
      </c>
      <c r="I7" s="4"/>
      <c r="J7" s="4"/>
      <c r="K7" s="2"/>
      <c r="L7" s="2"/>
    </row>
    <row r="8" spans="1:59">
      <c r="A8" s="9"/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1</v>
      </c>
      <c r="J8" s="10" t="s">
        <v>11</v>
      </c>
      <c r="K8" s="10" t="s">
        <v>12</v>
      </c>
      <c r="L8" s="11" t="s">
        <v>13</v>
      </c>
    </row>
    <row r="9" spans="1:59" ht="15" thickBot="1">
      <c r="A9" s="12" t="s">
        <v>2</v>
      </c>
      <c r="B9" s="13" t="s">
        <v>14</v>
      </c>
      <c r="C9" s="13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13" t="s">
        <v>20</v>
      </c>
      <c r="I9" s="13" t="s">
        <v>2</v>
      </c>
      <c r="J9" s="13" t="s">
        <v>21</v>
      </c>
      <c r="K9" s="13"/>
      <c r="L9" s="14"/>
    </row>
    <row r="10" spans="1:59">
      <c r="A10" s="1" t="s">
        <v>1</v>
      </c>
      <c r="B10" s="15" t="s">
        <v>80</v>
      </c>
      <c r="C10" s="16">
        <v>44236</v>
      </c>
      <c r="D10" s="17" t="s">
        <v>81</v>
      </c>
      <c r="E10" s="6">
        <f>26.72-1.61</f>
        <v>25.11</v>
      </c>
      <c r="F10" s="18">
        <v>105000</v>
      </c>
      <c r="G10" s="19">
        <v>0</v>
      </c>
      <c r="H10" s="49">
        <f>SUM(((F10-G10)-((K10*$H$6)+(J10*$E$4)))/I10)</f>
        <v>4739.6330275229357</v>
      </c>
      <c r="I10" s="20">
        <v>10.9</v>
      </c>
      <c r="J10" s="20">
        <v>2.06</v>
      </c>
      <c r="K10" s="21">
        <v>12.15</v>
      </c>
      <c r="L10" s="2"/>
    </row>
    <row r="11" spans="1:59">
      <c r="A11" s="1"/>
      <c r="B11" s="15" t="s">
        <v>68</v>
      </c>
      <c r="C11" s="16">
        <v>44033</v>
      </c>
      <c r="D11" s="6" t="s">
        <v>69</v>
      </c>
      <c r="E11" s="6">
        <v>108</v>
      </c>
      <c r="F11" s="18">
        <v>219200</v>
      </c>
      <c r="G11" s="19">
        <v>0</v>
      </c>
      <c r="H11" s="49">
        <f>SUM(((F11-G11)-((K11*$H$6)+(J11*$E$4)))/I11)</f>
        <v>1872</v>
      </c>
      <c r="I11" s="20">
        <v>100</v>
      </c>
      <c r="J11" s="20">
        <v>0</v>
      </c>
      <c r="K11" s="21">
        <v>8</v>
      </c>
      <c r="L11" s="2"/>
    </row>
    <row r="12" spans="1:59">
      <c r="A12" s="1"/>
      <c r="B12" s="15" t="s">
        <v>82</v>
      </c>
      <c r="C12" s="16">
        <v>43747</v>
      </c>
      <c r="D12" s="6"/>
      <c r="E12" s="6">
        <v>39.5</v>
      </c>
      <c r="F12" s="18">
        <v>165000</v>
      </c>
      <c r="G12" s="19">
        <v>0</v>
      </c>
      <c r="H12" s="49">
        <f>SUM(((F12-G12)-((K12*$H$6)+(J12*$E$4)))/I12)</f>
        <v>4736.8421052631575</v>
      </c>
      <c r="I12" s="20">
        <v>9.5</v>
      </c>
      <c r="J12" s="20">
        <v>0</v>
      </c>
      <c r="K12" s="21">
        <v>30</v>
      </c>
      <c r="L12" s="2"/>
    </row>
    <row r="13" spans="1:59">
      <c r="A13" s="1"/>
      <c r="B13" s="15" t="s">
        <v>83</v>
      </c>
      <c r="C13" s="16">
        <v>44386</v>
      </c>
      <c r="D13" s="6" t="s">
        <v>2</v>
      </c>
      <c r="E13" s="6">
        <f>26.9+27.63</f>
        <v>54.53</v>
      </c>
      <c r="F13" s="18">
        <v>150000</v>
      </c>
      <c r="G13" s="19">
        <v>0</v>
      </c>
      <c r="H13" s="49">
        <f>SUM(((F13-G13)-((K13*$H$6)+(J13*$E$4)))/I13)</f>
        <v>1534.5638798407529</v>
      </c>
      <c r="I13" s="20">
        <v>27.63</v>
      </c>
      <c r="J13" s="20">
        <v>0</v>
      </c>
      <c r="K13" s="21">
        <v>26.9</v>
      </c>
      <c r="L13" s="2"/>
    </row>
    <row r="14" spans="1:59" ht="15" thickBot="1">
      <c r="A14" s="2"/>
      <c r="B14" s="6"/>
      <c r="C14" s="16"/>
      <c r="D14" s="6"/>
      <c r="E14" s="6"/>
      <c r="F14" s="18"/>
      <c r="G14" s="19"/>
      <c r="H14" s="4">
        <f>AVERAGE(H10:H13)</f>
        <v>3220.7597531567117</v>
      </c>
      <c r="I14" s="20"/>
      <c r="J14" s="20"/>
      <c r="K14" s="21"/>
      <c r="L14" s="2"/>
      <c r="O14" s="199" t="s">
        <v>65</v>
      </c>
      <c r="P14" s="199"/>
    </row>
    <row r="15" spans="1:59" ht="15" thickTop="1">
      <c r="A15" s="2"/>
      <c r="B15" s="6"/>
      <c r="C15" s="16"/>
      <c r="D15" s="6"/>
      <c r="E15" s="6"/>
      <c r="F15" s="18"/>
      <c r="G15" s="19"/>
      <c r="H15" s="4"/>
      <c r="I15" s="22" t="s">
        <v>86</v>
      </c>
      <c r="J15" s="20"/>
      <c r="K15" s="21"/>
      <c r="L15" s="2"/>
      <c r="O15" t="s">
        <v>3</v>
      </c>
      <c r="P15" s="23">
        <v>4500</v>
      </c>
    </row>
    <row r="16" spans="1:59">
      <c r="A16" s="1"/>
      <c r="B16" s="6"/>
      <c r="C16" s="16"/>
      <c r="D16" s="24"/>
      <c r="E16" s="2"/>
      <c r="F16" s="4"/>
      <c r="I16" s="20"/>
      <c r="J16" s="20"/>
      <c r="K16" s="20"/>
      <c r="L16" s="2"/>
      <c r="O16" t="s">
        <v>1</v>
      </c>
      <c r="P16" s="23">
        <v>3200</v>
      </c>
    </row>
    <row r="17" spans="1:16">
      <c r="A17" s="1" t="s">
        <v>0</v>
      </c>
      <c r="B17" s="2"/>
      <c r="C17" s="16"/>
      <c r="D17" s="24"/>
      <c r="E17" s="6"/>
      <c r="F17" s="18"/>
      <c r="G17" s="4"/>
      <c r="H17" s="4"/>
      <c r="I17" s="20"/>
      <c r="J17" s="20"/>
      <c r="K17" s="21"/>
      <c r="L17" s="2"/>
      <c r="O17" t="s">
        <v>11</v>
      </c>
      <c r="P17" s="23">
        <v>3200</v>
      </c>
    </row>
    <row r="18" spans="1:16">
      <c r="A18" s="1" t="s">
        <v>2</v>
      </c>
      <c r="B18" s="15" t="s">
        <v>84</v>
      </c>
      <c r="C18" s="16">
        <v>44244</v>
      </c>
      <c r="D18" s="24" t="s">
        <v>2</v>
      </c>
      <c r="E18" s="2">
        <v>119.05</v>
      </c>
      <c r="F18" s="4">
        <v>700000</v>
      </c>
      <c r="G18" s="4">
        <f>12989+204444+26143</f>
        <v>243576</v>
      </c>
      <c r="H18" s="25">
        <f>SUM(((F18-G18)-((I18*$B$5)+(K18*$H$6)))/J18)</f>
        <v>4854.0727902946273</v>
      </c>
      <c r="I18" s="20">
        <v>21.6</v>
      </c>
      <c r="J18" s="20">
        <v>17.309999999999999</v>
      </c>
      <c r="K18" s="20">
        <v>80.14</v>
      </c>
      <c r="L18" s="2"/>
      <c r="P18" s="23"/>
    </row>
    <row r="19" spans="1:16">
      <c r="A19" s="1" t="s">
        <v>2</v>
      </c>
      <c r="B19" s="15" t="s">
        <v>66</v>
      </c>
      <c r="C19" s="16">
        <v>44243</v>
      </c>
      <c r="D19" s="24" t="s">
        <v>71</v>
      </c>
      <c r="E19" s="6">
        <v>216.32</v>
      </c>
      <c r="F19" s="18">
        <v>850000</v>
      </c>
      <c r="G19" s="19">
        <v>0</v>
      </c>
      <c r="H19" s="25">
        <f>SUM(((F19-G19)-((I19*$B$5)+(K19*$H$6)))/J19)</f>
        <v>4510.3033615742006</v>
      </c>
      <c r="I19" s="19">
        <v>21.22</v>
      </c>
      <c r="J19" s="19">
        <v>36.590000000000003</v>
      </c>
      <c r="K19" s="21">
        <v>158.51</v>
      </c>
      <c r="L19" s="2"/>
      <c r="O19" t="s">
        <v>39</v>
      </c>
      <c r="P19" s="23">
        <v>14000</v>
      </c>
    </row>
    <row r="20" spans="1:16">
      <c r="A20" s="2"/>
      <c r="B20" s="26"/>
      <c r="C20" s="27"/>
      <c r="D20" s="28"/>
      <c r="E20" s="26"/>
      <c r="F20" s="29"/>
      <c r="G20" s="29"/>
      <c r="H20" s="4">
        <f>AVERAGE(H18:H19)</f>
        <v>4682.188075934414</v>
      </c>
      <c r="I20" s="30"/>
      <c r="J20" s="30"/>
      <c r="K20" s="31"/>
      <c r="L20" s="2"/>
      <c r="O20" t="s">
        <v>556</v>
      </c>
      <c r="P20" s="23">
        <v>36000</v>
      </c>
    </row>
    <row r="21" spans="1:16">
      <c r="A21" s="2"/>
      <c r="B21" s="2"/>
      <c r="C21" s="32"/>
      <c r="D21" s="33"/>
      <c r="E21" s="2"/>
      <c r="F21" s="4"/>
      <c r="G21" s="4"/>
      <c r="H21" s="4"/>
      <c r="I21" s="34" t="s">
        <v>87</v>
      </c>
      <c r="J21" s="19" t="s">
        <v>88</v>
      </c>
      <c r="K21" s="20"/>
      <c r="L21" s="2" t="s">
        <v>2</v>
      </c>
      <c r="O21" t="s">
        <v>557</v>
      </c>
      <c r="P21" s="23">
        <v>11000</v>
      </c>
    </row>
    <row r="22" spans="1:16">
      <c r="A22" s="5" t="s">
        <v>22</v>
      </c>
      <c r="B22" s="2"/>
      <c r="C22" s="32"/>
      <c r="D22" s="33"/>
      <c r="E22" s="2"/>
      <c r="F22" s="4"/>
      <c r="G22" s="4"/>
      <c r="H22" s="4"/>
      <c r="I22" s="19"/>
      <c r="J22" s="19"/>
      <c r="K22" s="20"/>
      <c r="L22" s="2" t="s">
        <v>2</v>
      </c>
    </row>
    <row r="23" spans="1:16">
      <c r="A23" s="5"/>
      <c r="B23" s="1" t="s">
        <v>70</v>
      </c>
      <c r="C23" s="32">
        <v>44243</v>
      </c>
      <c r="D23" s="33" t="s">
        <v>71</v>
      </c>
      <c r="E23" s="2">
        <f>158.51+36.59+21.22</f>
        <v>216.32</v>
      </c>
      <c r="F23" s="4">
        <v>850000</v>
      </c>
      <c r="G23" s="35">
        <v>0</v>
      </c>
      <c r="H23" s="25">
        <f t="shared" ref="H23:H29" si="0">SUM((F23-G23)-(I23*$B$5)+(J23*$H$6))/K23</f>
        <v>5964.4943536685387</v>
      </c>
      <c r="I23" s="20">
        <v>21.22</v>
      </c>
      <c r="J23" s="20">
        <v>36.590000000000003</v>
      </c>
      <c r="K23" s="20">
        <v>158.51</v>
      </c>
      <c r="L23" s="2"/>
      <c r="O23" t="s">
        <v>2</v>
      </c>
    </row>
    <row r="24" spans="1:16">
      <c r="A24" s="5"/>
      <c r="B24" s="1" t="s">
        <v>72</v>
      </c>
      <c r="C24" s="32">
        <v>44091</v>
      </c>
      <c r="D24" s="33" t="s">
        <v>73</v>
      </c>
      <c r="E24" s="2">
        <f>19.68+2.9</f>
        <v>22.58</v>
      </c>
      <c r="F24" s="4">
        <v>88000</v>
      </c>
      <c r="G24" s="4">
        <v>0</v>
      </c>
      <c r="H24" s="25">
        <f t="shared" si="0"/>
        <v>4117.8861788617887</v>
      </c>
      <c r="I24" s="20">
        <v>2.9</v>
      </c>
      <c r="J24" s="20">
        <v>0</v>
      </c>
      <c r="K24" s="20">
        <v>19.68</v>
      </c>
      <c r="L24" s="2"/>
    </row>
    <row r="25" spans="1:16">
      <c r="A25" s="5"/>
      <c r="B25" s="1" t="s">
        <v>78</v>
      </c>
      <c r="C25" s="32">
        <v>44342</v>
      </c>
      <c r="D25" s="33" t="s">
        <v>79</v>
      </c>
      <c r="E25" s="2">
        <f>82.88-0.74</f>
        <v>82.14</v>
      </c>
      <c r="F25" s="4">
        <v>322500</v>
      </c>
      <c r="G25" s="4">
        <v>0</v>
      </c>
      <c r="H25" s="25">
        <f t="shared" si="0"/>
        <v>4530.7982401005656</v>
      </c>
      <c r="I25" s="20">
        <v>16.899999999999999</v>
      </c>
      <c r="J25" s="20">
        <v>1.6</v>
      </c>
      <c r="K25" s="20">
        <v>63.64</v>
      </c>
      <c r="L25" s="2"/>
    </row>
    <row r="26" spans="1:16">
      <c r="A26" s="5"/>
      <c r="B26" s="1" t="s">
        <v>85</v>
      </c>
      <c r="C26" s="32">
        <v>44839</v>
      </c>
      <c r="D26" s="33"/>
      <c r="E26" s="2">
        <v>41.97</v>
      </c>
      <c r="F26" s="4">
        <v>150000</v>
      </c>
      <c r="G26" s="4">
        <v>0</v>
      </c>
      <c r="H26" s="25">
        <f t="shared" si="0"/>
        <v>4722.0571428571429</v>
      </c>
      <c r="I26" s="20">
        <v>1.97</v>
      </c>
      <c r="J26" s="20">
        <v>5</v>
      </c>
      <c r="K26" s="20">
        <v>35</v>
      </c>
      <c r="L26" s="2"/>
    </row>
    <row r="27" spans="1:16">
      <c r="A27" s="5"/>
      <c r="B27" s="1" t="s">
        <v>82</v>
      </c>
      <c r="C27" s="32">
        <v>43747</v>
      </c>
      <c r="D27" s="33"/>
      <c r="E27" s="2">
        <v>39.5</v>
      </c>
      <c r="F27" s="4">
        <v>165000</v>
      </c>
      <c r="G27" s="4">
        <v>0</v>
      </c>
      <c r="H27" s="25">
        <f t="shared" si="0"/>
        <v>4740</v>
      </c>
      <c r="I27" s="20">
        <v>9.5</v>
      </c>
      <c r="J27" s="20">
        <v>0</v>
      </c>
      <c r="K27" s="20">
        <v>30</v>
      </c>
      <c r="L27" s="2"/>
    </row>
    <row r="28" spans="1:16">
      <c r="A28" s="5"/>
      <c r="B28" s="15" t="s">
        <v>74</v>
      </c>
      <c r="C28" s="50">
        <v>44475</v>
      </c>
      <c r="D28" s="36" t="s">
        <v>75</v>
      </c>
      <c r="E28" s="6">
        <f>9.75*2</f>
        <v>19.5</v>
      </c>
      <c r="F28" s="18">
        <v>80000</v>
      </c>
      <c r="G28" s="51">
        <v>0</v>
      </c>
      <c r="H28" s="25">
        <f t="shared" si="0"/>
        <v>4102.5641025641025</v>
      </c>
      <c r="I28" s="20">
        <v>0</v>
      </c>
      <c r="J28" s="20">
        <v>0</v>
      </c>
      <c r="K28" s="20">
        <v>19.5</v>
      </c>
      <c r="L28" s="2"/>
    </row>
    <row r="29" spans="1:16">
      <c r="A29" s="5"/>
      <c r="B29" s="15" t="s">
        <v>76</v>
      </c>
      <c r="C29" s="50">
        <v>44867</v>
      </c>
      <c r="D29" s="36" t="s">
        <v>77</v>
      </c>
      <c r="E29" s="6">
        <f>28.9+1.8</f>
        <v>30.7</v>
      </c>
      <c r="F29" s="18">
        <v>100000</v>
      </c>
      <c r="G29" s="51">
        <v>0</v>
      </c>
      <c r="H29" s="25">
        <f t="shared" si="0"/>
        <v>3310.7266435986162</v>
      </c>
      <c r="I29" s="20">
        <v>1.8</v>
      </c>
      <c r="J29" s="20">
        <v>0</v>
      </c>
      <c r="K29" s="20">
        <v>28.9</v>
      </c>
      <c r="L29" s="2"/>
    </row>
    <row r="30" spans="1:16">
      <c r="A30" s="15"/>
      <c r="B30" s="15"/>
      <c r="C30" s="37"/>
      <c r="D30" s="38"/>
      <c r="E30" s="1"/>
      <c r="F30" s="5"/>
      <c r="G30" s="5"/>
      <c r="H30" s="5">
        <f>AVERAGE(H23:H29)</f>
        <v>4498.3609516643937</v>
      </c>
      <c r="I30" s="34"/>
      <c r="J30" s="22"/>
      <c r="K30" s="22"/>
    </row>
    <row r="31" spans="1:16">
      <c r="A31" s="39"/>
      <c r="B31" s="37"/>
      <c r="C31" s="38"/>
      <c r="D31" s="1"/>
      <c r="E31" s="40"/>
      <c r="F31" s="5"/>
      <c r="G31" s="5"/>
      <c r="H31" s="34"/>
      <c r="I31" s="34" t="s">
        <v>555</v>
      </c>
      <c r="J31" s="34"/>
      <c r="K31" s="1"/>
      <c r="M31" s="3"/>
      <c r="N31" s="3"/>
    </row>
    <row r="32" spans="1:16">
      <c r="B32" s="39"/>
      <c r="C32" s="39"/>
      <c r="D32" s="39"/>
      <c r="E32" s="39"/>
      <c r="F32" s="39"/>
      <c r="G32" s="39"/>
      <c r="H32" s="39"/>
      <c r="I32" s="34"/>
      <c r="J32" s="34"/>
      <c r="K32" s="1"/>
    </row>
  </sheetData>
  <mergeCells count="1">
    <mergeCell ref="O14:P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L10"/>
  <sheetViews>
    <sheetView workbookViewId="0">
      <selection activeCell="D10" sqref="D10"/>
    </sheetView>
  </sheetViews>
  <sheetFormatPr defaultRowHeight="14.4"/>
  <cols>
    <col min="1" max="1" width="14.88671875" bestFit="1" customWidth="1"/>
    <col min="2" max="2" width="28.33203125" bestFit="1" customWidth="1"/>
    <col min="3" max="3" width="9.33203125" bestFit="1" customWidth="1"/>
    <col min="4" max="4" width="9.5546875" bestFit="1" customWidth="1"/>
    <col min="5" max="5" width="5.5546875" bestFit="1" customWidth="1"/>
    <col min="6" max="6" width="19.5546875" bestFit="1" customWidth="1"/>
    <col min="7" max="7" width="10.109375" bestFit="1" customWidth="1"/>
    <col min="8" max="8" width="12.6640625" bestFit="1" customWidth="1"/>
    <col min="9" max="9" width="12.88671875" bestFit="1" customWidth="1"/>
    <col min="10" max="10" width="13.44140625" bestFit="1" customWidth="1"/>
    <col min="11" max="11" width="13.33203125" bestFit="1" customWidth="1"/>
    <col min="12" max="12" width="14.44140625" bestFit="1" customWidth="1"/>
    <col min="13" max="13" width="11.109375" bestFit="1" customWidth="1"/>
    <col min="14" max="14" width="6.44140625" bestFit="1" customWidth="1"/>
    <col min="15" max="15" width="14.33203125" bestFit="1" customWidth="1"/>
    <col min="16" max="16" width="10.6640625" bestFit="1" customWidth="1"/>
    <col min="17" max="17" width="10" bestFit="1" customWidth="1"/>
    <col min="18" max="18" width="12" bestFit="1" customWidth="1"/>
    <col min="19" max="19" width="11.88671875" bestFit="1" customWidth="1"/>
    <col min="20" max="20" width="11.6640625" bestFit="1" customWidth="1"/>
    <col min="21" max="21" width="8.6640625" bestFit="1" customWidth="1"/>
    <col min="22" max="22" width="10.5546875" bestFit="1" customWidth="1"/>
    <col min="23" max="23" width="19.44140625" bestFit="1" customWidth="1"/>
    <col min="24" max="24" width="30.3320312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  <col min="30" max="32" width="12.44140625" bestFit="1" customWidth="1"/>
  </cols>
  <sheetData>
    <row r="1" spans="1:64">
      <c r="A1" s="52" t="s">
        <v>63</v>
      </c>
      <c r="B1" s="52" t="s">
        <v>62</v>
      </c>
      <c r="C1" s="71" t="s">
        <v>61</v>
      </c>
      <c r="D1" s="63" t="s">
        <v>60</v>
      </c>
      <c r="E1" s="52" t="s">
        <v>59</v>
      </c>
      <c r="F1" s="52" t="s">
        <v>58</v>
      </c>
      <c r="G1" s="63" t="s">
        <v>57</v>
      </c>
      <c r="H1" s="63" t="s">
        <v>56</v>
      </c>
      <c r="I1" s="67" t="s">
        <v>55</v>
      </c>
      <c r="J1" s="63" t="s">
        <v>54</v>
      </c>
      <c r="K1" s="63" t="s">
        <v>53</v>
      </c>
      <c r="L1" s="63" t="s">
        <v>52</v>
      </c>
      <c r="M1" s="75" t="s">
        <v>51</v>
      </c>
      <c r="N1" s="78" t="s">
        <v>50</v>
      </c>
      <c r="O1" s="82" t="s">
        <v>49</v>
      </c>
      <c r="P1" s="82" t="s">
        <v>48</v>
      </c>
      <c r="Q1" s="63" t="s">
        <v>47</v>
      </c>
      <c r="R1" s="63" t="s">
        <v>46</v>
      </c>
      <c r="S1" s="86" t="s">
        <v>45</v>
      </c>
      <c r="T1" s="82" t="s">
        <v>44</v>
      </c>
      <c r="U1" s="53" t="s">
        <v>43</v>
      </c>
      <c r="V1" s="52" t="s">
        <v>42</v>
      </c>
      <c r="W1" s="52" t="s">
        <v>41</v>
      </c>
      <c r="X1" s="52" t="s">
        <v>40</v>
      </c>
      <c r="Y1" s="52" t="s">
        <v>39</v>
      </c>
      <c r="Z1" s="52" t="s">
        <v>38</v>
      </c>
      <c r="AA1" s="52" t="s">
        <v>37</v>
      </c>
      <c r="AB1" s="52" t="s">
        <v>36</v>
      </c>
      <c r="AC1" s="52" t="s">
        <v>35</v>
      </c>
      <c r="AD1" s="52" t="s">
        <v>89</v>
      </c>
      <c r="AE1" s="52" t="s">
        <v>90</v>
      </c>
      <c r="AF1" s="52" t="s">
        <v>91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>
      <c r="A2" t="s">
        <v>317</v>
      </c>
      <c r="B2" t="s">
        <v>318</v>
      </c>
      <c r="C2" s="48">
        <v>44368</v>
      </c>
      <c r="D2" s="44">
        <v>60000</v>
      </c>
      <c r="E2" t="s">
        <v>33</v>
      </c>
      <c r="F2" t="s">
        <v>32</v>
      </c>
      <c r="G2" s="44">
        <v>60000</v>
      </c>
      <c r="H2" s="44">
        <v>27500</v>
      </c>
      <c r="I2" s="47">
        <v>45.833333333333329</v>
      </c>
      <c r="J2" s="44">
        <v>55000</v>
      </c>
      <c r="K2" s="44">
        <v>60000</v>
      </c>
      <c r="L2" s="44">
        <v>55000</v>
      </c>
      <c r="M2" s="46">
        <v>0</v>
      </c>
      <c r="N2" s="45">
        <v>0</v>
      </c>
      <c r="O2" s="42">
        <v>0.85</v>
      </c>
      <c r="P2" s="42">
        <v>0.85</v>
      </c>
      <c r="Q2" s="44" t="e">
        <v>#DIV/0!</v>
      </c>
      <c r="R2" s="44">
        <v>70588.23529411765</v>
      </c>
      <c r="S2" s="43">
        <v>1.6204829039053639</v>
      </c>
      <c r="T2" s="42">
        <v>0</v>
      </c>
      <c r="U2" s="54" t="s">
        <v>319</v>
      </c>
      <c r="V2" t="s">
        <v>320</v>
      </c>
      <c r="X2" t="s">
        <v>321</v>
      </c>
      <c r="Y2">
        <v>0</v>
      </c>
      <c r="Z2">
        <v>0</v>
      </c>
      <c r="AA2" t="s">
        <v>34</v>
      </c>
      <c r="AC2" s="56" t="s">
        <v>129</v>
      </c>
      <c r="AL2" s="3"/>
      <c r="BC2" s="3"/>
      <c r="BE2" s="3"/>
    </row>
    <row r="3" spans="1:64" ht="15" thickBot="1">
      <c r="A3" t="s">
        <v>322</v>
      </c>
      <c r="B3" t="s">
        <v>323</v>
      </c>
      <c r="C3" s="48">
        <v>44474</v>
      </c>
      <c r="D3" s="44">
        <v>1000</v>
      </c>
      <c r="E3" t="s">
        <v>33</v>
      </c>
      <c r="F3" t="s">
        <v>324</v>
      </c>
      <c r="G3" s="44">
        <v>1000</v>
      </c>
      <c r="H3" s="44">
        <v>27500</v>
      </c>
      <c r="I3" s="47">
        <v>2750</v>
      </c>
      <c r="J3" s="44">
        <v>55000</v>
      </c>
      <c r="K3" s="44">
        <v>1000</v>
      </c>
      <c r="L3" s="44">
        <v>55000</v>
      </c>
      <c r="M3" s="46">
        <v>0</v>
      </c>
      <c r="N3" s="45">
        <v>0</v>
      </c>
      <c r="O3" s="42">
        <v>0.96</v>
      </c>
      <c r="P3" s="42">
        <v>0.96</v>
      </c>
      <c r="Q3" s="44" t="e">
        <v>#DIV/0!</v>
      </c>
      <c r="R3" s="44">
        <v>1041.6666666666667</v>
      </c>
      <c r="S3" s="43">
        <v>2.3913376186103459E-2</v>
      </c>
      <c r="T3" s="42">
        <v>0</v>
      </c>
      <c r="U3" s="54" t="s">
        <v>319</v>
      </c>
      <c r="V3" t="s">
        <v>325</v>
      </c>
      <c r="X3" t="s">
        <v>321</v>
      </c>
      <c r="Y3">
        <v>0</v>
      </c>
      <c r="Z3">
        <v>0</v>
      </c>
      <c r="AA3" t="s">
        <v>34</v>
      </c>
      <c r="AC3" s="56" t="s">
        <v>129</v>
      </c>
    </row>
    <row r="4" spans="1:64" ht="15" thickTop="1">
      <c r="A4" s="57"/>
      <c r="B4" s="57"/>
      <c r="C4" s="72" t="s">
        <v>29</v>
      </c>
      <c r="D4" s="64">
        <v>61000</v>
      </c>
      <c r="E4" s="57"/>
      <c r="F4" s="57"/>
      <c r="G4" s="64">
        <v>61000</v>
      </c>
      <c r="H4" s="64">
        <v>55000</v>
      </c>
      <c r="I4" s="68"/>
      <c r="J4" s="64">
        <v>110000</v>
      </c>
      <c r="K4" s="64">
        <v>61000</v>
      </c>
      <c r="L4" s="64">
        <v>110000</v>
      </c>
      <c r="M4" s="76">
        <v>0</v>
      </c>
      <c r="N4" s="79"/>
      <c r="O4" s="83">
        <v>1.81</v>
      </c>
      <c r="P4" s="83">
        <v>1.81</v>
      </c>
      <c r="Q4" s="64"/>
      <c r="R4" s="64"/>
      <c r="S4" s="87"/>
      <c r="T4" s="83"/>
      <c r="U4" s="58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64">
      <c r="A5" s="59"/>
      <c r="B5" s="59"/>
      <c r="C5" s="73"/>
      <c r="D5" s="65"/>
      <c r="E5" s="59"/>
      <c r="F5" s="59"/>
      <c r="G5" s="65"/>
      <c r="H5" s="65" t="s">
        <v>28</v>
      </c>
      <c r="I5" s="69">
        <v>90.163934426229503</v>
      </c>
      <c r="J5" s="65"/>
      <c r="K5" s="65"/>
      <c r="L5" s="65" t="s">
        <v>27</v>
      </c>
      <c r="M5" s="77"/>
      <c r="N5" s="80"/>
      <c r="O5" s="84" t="s">
        <v>27</v>
      </c>
      <c r="P5" s="84"/>
      <c r="Q5" s="65"/>
      <c r="R5" s="65" t="s">
        <v>27</v>
      </c>
      <c r="S5" s="88"/>
      <c r="T5" s="84"/>
      <c r="U5" s="60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64">
      <c r="A6" s="61"/>
      <c r="B6" s="61"/>
      <c r="C6" s="74"/>
      <c r="D6" s="66"/>
      <c r="E6" s="61"/>
      <c r="F6" s="61"/>
      <c r="G6" s="66"/>
      <c r="H6" s="66" t="s">
        <v>26</v>
      </c>
      <c r="I6" s="70">
        <v>1912.134587458622</v>
      </c>
      <c r="J6" s="66"/>
      <c r="K6" s="66"/>
      <c r="L6" s="66" t="s">
        <v>25</v>
      </c>
      <c r="M6" s="90" t="e">
        <v>#DIV/0!</v>
      </c>
      <c r="N6" s="81"/>
      <c r="O6" s="85" t="s">
        <v>24</v>
      </c>
      <c r="P6" s="85">
        <v>33701.657458563532</v>
      </c>
      <c r="Q6" s="66"/>
      <c r="R6" s="66" t="s">
        <v>23</v>
      </c>
      <c r="S6" s="89">
        <v>0.77368359638575601</v>
      </c>
      <c r="T6" s="85"/>
      <c r="U6" s="62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8" spans="1:64">
      <c r="A8" s="141" t="s">
        <v>326</v>
      </c>
      <c r="B8" s="142">
        <v>60500.000000000007</v>
      </c>
      <c r="D8" t="s">
        <v>329</v>
      </c>
    </row>
    <row r="9" spans="1:64">
      <c r="A9" s="141" t="s">
        <v>327</v>
      </c>
      <c r="B9" s="142">
        <v>36300</v>
      </c>
      <c r="D9">
        <f>135*1.1</f>
        <v>148.5</v>
      </c>
    </row>
    <row r="10" spans="1:64">
      <c r="A10" s="141" t="s">
        <v>328</v>
      </c>
      <c r="B10" s="142">
        <v>33000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21"/>
  <sheetViews>
    <sheetView tabSelected="1" workbookViewId="0">
      <selection activeCell="K39" sqref="K39"/>
    </sheetView>
  </sheetViews>
  <sheetFormatPr defaultRowHeight="14.4"/>
  <cols>
    <col min="1" max="1" width="14.33203125" bestFit="1" customWidth="1"/>
    <col min="2" max="2" width="14.109375" bestFit="1" customWidth="1"/>
    <col min="3" max="3" width="9.33203125" style="48" bestFit="1" customWidth="1"/>
    <col min="4" max="4" width="10.88671875" style="44" bestFit="1" customWidth="1"/>
    <col min="5" max="5" width="5.5546875" bestFit="1" customWidth="1"/>
    <col min="6" max="6" width="16.6640625" bestFit="1" customWidth="1"/>
    <col min="7" max="7" width="10.88671875" style="44" bestFit="1" customWidth="1"/>
    <col min="8" max="8" width="12.6640625" style="44" bestFit="1" customWidth="1"/>
    <col min="9" max="9" width="12.88671875" style="47" bestFit="1" customWidth="1"/>
    <col min="10" max="10" width="13.44140625" style="44" bestFit="1" customWidth="1"/>
    <col min="11" max="11" width="13.33203125" style="44" bestFit="1" customWidth="1"/>
    <col min="12" max="12" width="14.44140625" style="44" bestFit="1" customWidth="1"/>
    <col min="13" max="13" width="11.109375" style="46" bestFit="1" customWidth="1"/>
    <col min="14" max="14" width="6.44140625" style="45" bestFit="1" customWidth="1"/>
    <col min="15" max="15" width="14.33203125" style="42" bestFit="1" customWidth="1"/>
    <col min="16" max="16" width="10.6640625" style="42" bestFit="1" customWidth="1"/>
    <col min="17" max="17" width="10" style="44" bestFit="1" customWidth="1"/>
    <col min="18" max="18" width="12" style="44" bestFit="1" customWidth="1"/>
    <col min="19" max="19" width="11.88671875" style="43" bestFit="1" customWidth="1"/>
    <col min="20" max="20" width="11.6640625" style="42" bestFit="1" customWidth="1"/>
    <col min="21" max="21" width="8.6640625" style="41" bestFit="1" customWidth="1"/>
    <col min="22" max="22" width="10.5546875" bestFit="1" customWidth="1"/>
    <col min="23" max="23" width="19.44140625" bestFit="1" customWidth="1"/>
    <col min="24" max="24" width="14.3320312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</cols>
  <sheetData>
    <row r="1" spans="1:64">
      <c r="A1" s="52" t="s">
        <v>63</v>
      </c>
      <c r="B1" s="52" t="s">
        <v>62</v>
      </c>
      <c r="C1" s="71" t="s">
        <v>61</v>
      </c>
      <c r="D1" s="63" t="s">
        <v>60</v>
      </c>
      <c r="E1" s="52" t="s">
        <v>59</v>
      </c>
      <c r="F1" s="52" t="s">
        <v>58</v>
      </c>
      <c r="G1" s="63" t="s">
        <v>57</v>
      </c>
      <c r="H1" s="63" t="s">
        <v>56</v>
      </c>
      <c r="I1" s="67" t="s">
        <v>55</v>
      </c>
      <c r="J1" s="63" t="s">
        <v>54</v>
      </c>
      <c r="K1" s="63" t="s">
        <v>53</v>
      </c>
      <c r="L1" s="63" t="s">
        <v>52</v>
      </c>
      <c r="M1" s="75" t="s">
        <v>51</v>
      </c>
      <c r="N1" s="78" t="s">
        <v>50</v>
      </c>
      <c r="O1" s="82" t="s">
        <v>49</v>
      </c>
      <c r="P1" s="82" t="s">
        <v>48</v>
      </c>
      <c r="Q1" s="63" t="s">
        <v>47</v>
      </c>
      <c r="R1" s="63" t="s">
        <v>46</v>
      </c>
      <c r="S1" s="86" t="s">
        <v>45</v>
      </c>
      <c r="T1" s="82" t="s">
        <v>44</v>
      </c>
      <c r="U1" s="53" t="s">
        <v>43</v>
      </c>
      <c r="V1" s="52" t="s">
        <v>42</v>
      </c>
      <c r="W1" s="52" t="s">
        <v>41</v>
      </c>
      <c r="X1" s="52" t="s">
        <v>40</v>
      </c>
      <c r="Y1" s="52" t="s">
        <v>39</v>
      </c>
      <c r="Z1" s="52" t="s">
        <v>38</v>
      </c>
      <c r="AA1" s="52" t="s">
        <v>37</v>
      </c>
      <c r="AB1" s="52" t="s">
        <v>36</v>
      </c>
      <c r="AC1" s="52" t="s">
        <v>35</v>
      </c>
      <c r="AD1" s="52" t="s">
        <v>89</v>
      </c>
      <c r="AE1" s="52" t="s">
        <v>90</v>
      </c>
      <c r="AF1" s="52" t="s">
        <v>91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>
      <c r="C2"/>
      <c r="D2"/>
      <c r="G2"/>
      <c r="H2"/>
      <c r="I2"/>
      <c r="J2"/>
      <c r="K2"/>
      <c r="L2"/>
      <c r="M2"/>
      <c r="N2"/>
      <c r="O2"/>
      <c r="P2"/>
      <c r="Q2"/>
      <c r="R2"/>
      <c r="S2"/>
      <c r="T2"/>
      <c r="U2" s="54"/>
      <c r="AL2" s="3"/>
      <c r="BC2" s="3"/>
      <c r="BE2" s="3"/>
    </row>
    <row r="3" spans="1:64">
      <c r="A3" t="s">
        <v>92</v>
      </c>
      <c r="B3" t="s">
        <v>93</v>
      </c>
      <c r="C3" s="48">
        <v>44399</v>
      </c>
      <c r="D3" s="44">
        <v>182900</v>
      </c>
      <c r="E3" t="s">
        <v>33</v>
      </c>
      <c r="F3" t="s">
        <v>32</v>
      </c>
      <c r="G3" s="44">
        <v>182900</v>
      </c>
      <c r="H3" s="44">
        <v>141900</v>
      </c>
      <c r="I3" s="47">
        <v>77.583378895571357</v>
      </c>
      <c r="J3" s="44">
        <v>129440</v>
      </c>
      <c r="K3" s="44">
        <v>182900</v>
      </c>
      <c r="L3" s="44">
        <v>129440</v>
      </c>
      <c r="M3" s="46">
        <v>0</v>
      </c>
      <c r="N3" s="45">
        <v>0</v>
      </c>
      <c r="O3" s="42">
        <v>40.883000000000003</v>
      </c>
      <c r="P3" s="42">
        <v>40.883000000000003</v>
      </c>
      <c r="Q3" s="44" t="e">
        <v>#DIV/0!</v>
      </c>
      <c r="R3" s="44">
        <v>4473.7421422106981</v>
      </c>
      <c r="S3" s="43">
        <v>0.10270298765405643</v>
      </c>
      <c r="T3" s="42">
        <v>0</v>
      </c>
      <c r="U3" s="54" t="s">
        <v>94</v>
      </c>
      <c r="V3" t="s">
        <v>95</v>
      </c>
      <c r="X3" t="s">
        <v>31</v>
      </c>
      <c r="Y3">
        <v>0</v>
      </c>
      <c r="Z3">
        <v>1</v>
      </c>
      <c r="AA3" s="55">
        <v>33562</v>
      </c>
      <c r="AC3" s="56" t="s">
        <v>30</v>
      </c>
    </row>
    <row r="4" spans="1:64">
      <c r="A4" t="s">
        <v>96</v>
      </c>
      <c r="B4" t="s">
        <v>97</v>
      </c>
      <c r="C4" s="48">
        <v>44033</v>
      </c>
      <c r="D4" s="44">
        <v>219200</v>
      </c>
      <c r="E4" t="s">
        <v>33</v>
      </c>
      <c r="F4" t="s">
        <v>32</v>
      </c>
      <c r="G4" s="44">
        <v>219200</v>
      </c>
      <c r="H4" s="44">
        <v>25600</v>
      </c>
      <c r="I4" s="47">
        <v>11.678832116788321</v>
      </c>
      <c r="J4" s="44">
        <v>51130</v>
      </c>
      <c r="K4" s="44">
        <v>219200</v>
      </c>
      <c r="L4" s="44">
        <v>51130</v>
      </c>
      <c r="M4" s="46">
        <v>0</v>
      </c>
      <c r="N4" s="45">
        <v>0</v>
      </c>
      <c r="O4" s="42">
        <v>15.35</v>
      </c>
      <c r="P4" s="42">
        <v>16.559999999999999</v>
      </c>
      <c r="Q4" s="44" t="e">
        <v>#DIV/0!</v>
      </c>
      <c r="R4" s="44">
        <v>14280.130293159609</v>
      </c>
      <c r="S4" s="43">
        <v>0.32782668257942171</v>
      </c>
      <c r="T4" s="42">
        <v>0</v>
      </c>
      <c r="U4" s="54" t="s">
        <v>94</v>
      </c>
      <c r="V4" t="s">
        <v>69</v>
      </c>
      <c r="W4" t="s">
        <v>98</v>
      </c>
      <c r="X4" t="s">
        <v>31</v>
      </c>
      <c r="Y4">
        <v>0</v>
      </c>
      <c r="Z4">
        <v>0</v>
      </c>
      <c r="AA4" t="s">
        <v>34</v>
      </c>
      <c r="AC4" s="56" t="s">
        <v>30</v>
      </c>
    </row>
    <row r="5" spans="1:64">
      <c r="A5" t="s">
        <v>99</v>
      </c>
      <c r="B5" t="s">
        <v>97</v>
      </c>
      <c r="C5" s="48">
        <v>44033</v>
      </c>
      <c r="D5" s="44">
        <v>219200</v>
      </c>
      <c r="E5" t="s">
        <v>33</v>
      </c>
      <c r="F5" t="s">
        <v>32</v>
      </c>
      <c r="G5" s="44">
        <v>219200</v>
      </c>
      <c r="H5" s="44">
        <v>25600</v>
      </c>
      <c r="I5" s="47">
        <v>11.678832116788321</v>
      </c>
      <c r="J5" s="44">
        <v>51130</v>
      </c>
      <c r="K5" s="44">
        <v>219200</v>
      </c>
      <c r="L5" s="44">
        <v>51130</v>
      </c>
      <c r="M5" s="46">
        <v>0</v>
      </c>
      <c r="N5" s="45">
        <v>0</v>
      </c>
      <c r="O5" s="42">
        <v>15.35</v>
      </c>
      <c r="P5" s="42">
        <v>40.96</v>
      </c>
      <c r="Q5" s="44" t="e">
        <v>#DIV/0!</v>
      </c>
      <c r="R5" s="44">
        <v>14280.130293159609</v>
      </c>
      <c r="S5" s="43">
        <v>0.32782668257942171</v>
      </c>
      <c r="T5" s="42">
        <v>0</v>
      </c>
      <c r="U5" s="54" t="s">
        <v>94</v>
      </c>
      <c r="V5" t="s">
        <v>69</v>
      </c>
      <c r="W5" t="s">
        <v>100</v>
      </c>
      <c r="X5" t="s">
        <v>31</v>
      </c>
      <c r="Y5">
        <v>1</v>
      </c>
      <c r="Z5">
        <v>0</v>
      </c>
      <c r="AA5" s="55">
        <v>33581</v>
      </c>
      <c r="AC5" s="56" t="s">
        <v>30</v>
      </c>
    </row>
    <row r="6" spans="1:64">
      <c r="A6" t="s">
        <v>101</v>
      </c>
      <c r="B6" t="s">
        <v>97</v>
      </c>
      <c r="C6" s="48">
        <v>44033</v>
      </c>
      <c r="D6" s="44">
        <v>219200</v>
      </c>
      <c r="E6" t="s">
        <v>33</v>
      </c>
      <c r="F6" t="s">
        <v>32</v>
      </c>
      <c r="G6" s="44">
        <v>219200</v>
      </c>
      <c r="H6" s="44">
        <v>25600</v>
      </c>
      <c r="I6" s="47">
        <v>11.678832116788321</v>
      </c>
      <c r="J6" s="44">
        <v>51130</v>
      </c>
      <c r="K6" s="44">
        <v>219200</v>
      </c>
      <c r="L6" s="44">
        <v>51130</v>
      </c>
      <c r="M6" s="46">
        <v>0</v>
      </c>
      <c r="N6" s="45">
        <v>0</v>
      </c>
      <c r="O6" s="42">
        <v>15.35</v>
      </c>
      <c r="P6" s="42">
        <v>33.21</v>
      </c>
      <c r="Q6" s="44" t="e">
        <v>#DIV/0!</v>
      </c>
      <c r="R6" s="44">
        <v>14280.130293159609</v>
      </c>
      <c r="S6" s="43">
        <v>0.32782668257942171</v>
      </c>
      <c r="T6" s="42">
        <v>0</v>
      </c>
      <c r="U6" s="54" t="s">
        <v>94</v>
      </c>
      <c r="V6" t="s">
        <v>69</v>
      </c>
      <c r="W6" t="s">
        <v>102</v>
      </c>
      <c r="X6" t="s">
        <v>31</v>
      </c>
      <c r="Y6">
        <v>0</v>
      </c>
      <c r="Z6">
        <v>0</v>
      </c>
      <c r="AA6" t="s">
        <v>34</v>
      </c>
      <c r="AC6" s="56" t="s">
        <v>30</v>
      </c>
    </row>
    <row r="7" spans="1:64">
      <c r="A7" t="s">
        <v>103</v>
      </c>
      <c r="B7" t="s">
        <v>97</v>
      </c>
      <c r="C7" s="48">
        <v>44033</v>
      </c>
      <c r="D7" s="44">
        <v>219200</v>
      </c>
      <c r="E7" t="s">
        <v>33</v>
      </c>
      <c r="F7" t="s">
        <v>32</v>
      </c>
      <c r="G7" s="44">
        <v>219200</v>
      </c>
      <c r="H7" s="44">
        <v>25600</v>
      </c>
      <c r="I7" s="47">
        <v>11.678832116788321</v>
      </c>
      <c r="J7" s="44">
        <v>51130</v>
      </c>
      <c r="K7" s="44">
        <v>219200</v>
      </c>
      <c r="L7" s="44">
        <v>51130</v>
      </c>
      <c r="M7" s="46">
        <v>0</v>
      </c>
      <c r="N7" s="45">
        <v>0</v>
      </c>
      <c r="O7" s="42">
        <v>15.35</v>
      </c>
      <c r="P7" s="42">
        <v>19.55</v>
      </c>
      <c r="Q7" s="44" t="e">
        <v>#DIV/0!</v>
      </c>
      <c r="R7" s="44">
        <v>14280.130293159609</v>
      </c>
      <c r="S7" s="43">
        <v>0.32782668257942171</v>
      </c>
      <c r="T7" s="42">
        <v>0</v>
      </c>
      <c r="U7" s="54" t="s">
        <v>94</v>
      </c>
      <c r="V7" t="s">
        <v>69</v>
      </c>
      <c r="W7" t="s">
        <v>104</v>
      </c>
      <c r="X7" t="s">
        <v>31</v>
      </c>
      <c r="Y7">
        <v>1</v>
      </c>
      <c r="Z7">
        <v>0</v>
      </c>
      <c r="AA7" s="55">
        <v>33583</v>
      </c>
      <c r="AC7" s="56" t="s">
        <v>30</v>
      </c>
    </row>
    <row r="8" spans="1:64">
      <c r="A8" t="s">
        <v>66</v>
      </c>
      <c r="B8" t="s">
        <v>105</v>
      </c>
      <c r="C8" s="48">
        <v>44243</v>
      </c>
      <c r="D8" s="44">
        <v>850000</v>
      </c>
      <c r="E8" t="s">
        <v>33</v>
      </c>
      <c r="F8" t="s">
        <v>32</v>
      </c>
      <c r="G8" s="44">
        <v>850000</v>
      </c>
      <c r="H8" s="44">
        <v>188800</v>
      </c>
      <c r="I8" s="47">
        <v>22.211764705882352</v>
      </c>
      <c r="J8" s="44">
        <v>377620</v>
      </c>
      <c r="K8" s="44">
        <v>850000</v>
      </c>
      <c r="L8" s="44">
        <v>377620</v>
      </c>
      <c r="M8" s="46">
        <v>0</v>
      </c>
      <c r="N8" s="45">
        <v>0</v>
      </c>
      <c r="O8" s="42">
        <v>109.03</v>
      </c>
      <c r="P8" s="42">
        <v>77.3</v>
      </c>
      <c r="Q8" s="44" t="e">
        <v>#DIV/0!</v>
      </c>
      <c r="R8" s="44">
        <v>7796.0194441896729</v>
      </c>
      <c r="S8" s="43">
        <v>0.17897197989416144</v>
      </c>
      <c r="T8" s="42">
        <v>0</v>
      </c>
      <c r="U8" s="54" t="s">
        <v>94</v>
      </c>
      <c r="V8" t="s">
        <v>71</v>
      </c>
      <c r="W8" t="s">
        <v>106</v>
      </c>
      <c r="X8" t="s">
        <v>31</v>
      </c>
      <c r="Y8">
        <v>1</v>
      </c>
      <c r="Z8">
        <v>0</v>
      </c>
      <c r="AA8" s="55">
        <v>33586</v>
      </c>
      <c r="AC8" s="56" t="s">
        <v>30</v>
      </c>
    </row>
    <row r="9" spans="1:64">
      <c r="A9" t="s">
        <v>107</v>
      </c>
      <c r="B9" t="s">
        <v>105</v>
      </c>
      <c r="C9" s="48">
        <v>44243</v>
      </c>
      <c r="D9" s="44">
        <v>850000</v>
      </c>
      <c r="E9" t="s">
        <v>33</v>
      </c>
      <c r="F9" t="s">
        <v>32</v>
      </c>
      <c r="G9" s="44">
        <v>850000</v>
      </c>
      <c r="H9" s="44">
        <v>188800</v>
      </c>
      <c r="I9" s="47">
        <v>22.211764705882352</v>
      </c>
      <c r="J9" s="44">
        <v>377620</v>
      </c>
      <c r="K9" s="44">
        <v>850000</v>
      </c>
      <c r="L9" s="44">
        <v>377620</v>
      </c>
      <c r="M9" s="46">
        <v>0</v>
      </c>
      <c r="N9" s="45">
        <v>0</v>
      </c>
      <c r="O9" s="42">
        <v>109.03</v>
      </c>
      <c r="P9" s="42">
        <v>106.96</v>
      </c>
      <c r="Q9" s="44" t="e">
        <v>#DIV/0!</v>
      </c>
      <c r="R9" s="44">
        <v>7796.0194441896729</v>
      </c>
      <c r="S9" s="43">
        <v>0.17897197989416144</v>
      </c>
      <c r="T9" s="42">
        <v>0</v>
      </c>
      <c r="U9" s="54" t="s">
        <v>94</v>
      </c>
      <c r="V9" t="s">
        <v>71</v>
      </c>
      <c r="W9" t="s">
        <v>108</v>
      </c>
      <c r="X9" t="s">
        <v>31</v>
      </c>
      <c r="Y9">
        <v>1</v>
      </c>
      <c r="Z9">
        <v>0</v>
      </c>
      <c r="AA9" s="55">
        <v>33586</v>
      </c>
      <c r="AC9" s="56" t="s">
        <v>30</v>
      </c>
    </row>
    <row r="10" spans="1:64">
      <c r="A10" t="s">
        <v>109</v>
      </c>
      <c r="B10" t="s">
        <v>105</v>
      </c>
      <c r="C10" s="48">
        <v>44243</v>
      </c>
      <c r="D10" s="44">
        <v>850000</v>
      </c>
      <c r="E10" t="s">
        <v>33</v>
      </c>
      <c r="F10" t="s">
        <v>32</v>
      </c>
      <c r="G10" s="44">
        <v>850000</v>
      </c>
      <c r="H10" s="44">
        <v>188800</v>
      </c>
      <c r="I10" s="47">
        <v>22.211764705882352</v>
      </c>
      <c r="J10" s="44">
        <v>377620</v>
      </c>
      <c r="K10" s="44">
        <v>850000</v>
      </c>
      <c r="L10" s="44">
        <v>377620</v>
      </c>
      <c r="M10" s="46">
        <v>0</v>
      </c>
      <c r="N10" s="45">
        <v>0</v>
      </c>
      <c r="O10" s="42">
        <v>109.03</v>
      </c>
      <c r="P10" s="42">
        <v>38.9</v>
      </c>
      <c r="Q10" s="44" t="e">
        <v>#DIV/0!</v>
      </c>
      <c r="R10" s="44">
        <v>7796.0194441896729</v>
      </c>
      <c r="S10" s="43">
        <v>0.17897197989416144</v>
      </c>
      <c r="T10" s="42">
        <v>0</v>
      </c>
      <c r="U10" s="54" t="s">
        <v>94</v>
      </c>
      <c r="V10" t="s">
        <v>71</v>
      </c>
      <c r="W10" t="s">
        <v>110</v>
      </c>
      <c r="X10" t="s">
        <v>31</v>
      </c>
      <c r="Y10">
        <v>0</v>
      </c>
      <c r="Z10">
        <v>1</v>
      </c>
      <c r="AA10" s="55">
        <v>33689</v>
      </c>
      <c r="AC10" s="56" t="s">
        <v>30</v>
      </c>
    </row>
    <row r="11" spans="1:64">
      <c r="A11" t="s">
        <v>72</v>
      </c>
      <c r="B11" t="s">
        <v>111</v>
      </c>
      <c r="C11" s="48">
        <v>44091</v>
      </c>
      <c r="D11" s="44">
        <v>88000</v>
      </c>
      <c r="E11" t="s">
        <v>33</v>
      </c>
      <c r="F11" t="s">
        <v>32</v>
      </c>
      <c r="G11" s="44">
        <v>88000</v>
      </c>
      <c r="H11" s="44">
        <v>78700</v>
      </c>
      <c r="I11" s="47">
        <v>89.431818181818173</v>
      </c>
      <c r="J11" s="44">
        <v>157414</v>
      </c>
      <c r="K11" s="44">
        <v>16266</v>
      </c>
      <c r="L11" s="44">
        <v>85680</v>
      </c>
      <c r="M11" s="46">
        <v>0</v>
      </c>
      <c r="N11" s="45">
        <v>0</v>
      </c>
      <c r="O11" s="42">
        <v>22.71</v>
      </c>
      <c r="P11" s="42">
        <v>22.71</v>
      </c>
      <c r="Q11" s="44" t="e">
        <v>#DIV/0!</v>
      </c>
      <c r="R11" s="44">
        <v>716.2483487450462</v>
      </c>
      <c r="S11" s="43">
        <v>1.6442799557967083E-2</v>
      </c>
      <c r="T11" s="42">
        <v>0</v>
      </c>
      <c r="U11" s="54" t="s">
        <v>94</v>
      </c>
      <c r="V11" t="s">
        <v>73</v>
      </c>
      <c r="X11" t="s">
        <v>31</v>
      </c>
      <c r="Y11">
        <v>0</v>
      </c>
      <c r="Z11">
        <v>1</v>
      </c>
      <c r="AA11" s="55">
        <v>33690</v>
      </c>
      <c r="AC11" s="56" t="s">
        <v>112</v>
      </c>
    </row>
    <row r="12" spans="1:64">
      <c r="A12" t="s">
        <v>113</v>
      </c>
      <c r="B12" t="s">
        <v>114</v>
      </c>
      <c r="C12" s="48">
        <v>44475</v>
      </c>
      <c r="D12" s="44">
        <v>80000</v>
      </c>
      <c r="E12" t="s">
        <v>33</v>
      </c>
      <c r="F12" t="s">
        <v>32</v>
      </c>
      <c r="G12" s="44">
        <v>80000</v>
      </c>
      <c r="H12" s="44">
        <v>19500</v>
      </c>
      <c r="I12" s="47">
        <v>24.375</v>
      </c>
      <c r="J12" s="44">
        <v>39000</v>
      </c>
      <c r="K12" s="44">
        <v>80000</v>
      </c>
      <c r="L12" s="44">
        <v>39000</v>
      </c>
      <c r="M12" s="46">
        <v>0</v>
      </c>
      <c r="N12" s="45">
        <v>0</v>
      </c>
      <c r="O12" s="42">
        <v>10</v>
      </c>
      <c r="P12" s="42">
        <v>10</v>
      </c>
      <c r="Q12" s="44" t="e">
        <v>#DIV/0!</v>
      </c>
      <c r="R12" s="44">
        <v>8000</v>
      </c>
      <c r="S12" s="43">
        <v>0.18365472910927455</v>
      </c>
      <c r="T12" s="42">
        <v>0</v>
      </c>
      <c r="U12" s="54" t="s">
        <v>94</v>
      </c>
      <c r="V12" t="s">
        <v>75</v>
      </c>
      <c r="W12" t="s">
        <v>115</v>
      </c>
      <c r="X12" t="s">
        <v>31</v>
      </c>
      <c r="Y12">
        <v>0</v>
      </c>
      <c r="Z12">
        <v>0</v>
      </c>
      <c r="AA12" t="s">
        <v>34</v>
      </c>
      <c r="AC12" s="56" t="s">
        <v>30</v>
      </c>
    </row>
    <row r="13" spans="1:64">
      <c r="A13" t="s">
        <v>115</v>
      </c>
      <c r="B13" t="s">
        <v>116</v>
      </c>
      <c r="C13" s="48">
        <v>44475</v>
      </c>
      <c r="D13" s="44">
        <v>80000</v>
      </c>
      <c r="E13" t="s">
        <v>33</v>
      </c>
      <c r="F13" t="s">
        <v>32</v>
      </c>
      <c r="G13" s="44">
        <v>80000</v>
      </c>
      <c r="H13" s="44">
        <v>19500</v>
      </c>
      <c r="I13" s="47">
        <v>24.375</v>
      </c>
      <c r="J13" s="44">
        <v>39000</v>
      </c>
      <c r="K13" s="44">
        <v>80000</v>
      </c>
      <c r="L13" s="44">
        <v>39000</v>
      </c>
      <c r="M13" s="46">
        <v>0</v>
      </c>
      <c r="N13" s="45">
        <v>0</v>
      </c>
      <c r="O13" s="42">
        <v>10</v>
      </c>
      <c r="P13" s="42">
        <v>10</v>
      </c>
      <c r="Q13" s="44" t="e">
        <v>#DIV/0!</v>
      </c>
      <c r="R13" s="44">
        <v>8000</v>
      </c>
      <c r="S13" s="43">
        <v>0.18365472910927455</v>
      </c>
      <c r="T13" s="42">
        <v>0</v>
      </c>
      <c r="U13" s="54" t="s">
        <v>94</v>
      </c>
      <c r="V13" t="s">
        <v>75</v>
      </c>
      <c r="W13" t="s">
        <v>113</v>
      </c>
      <c r="X13" t="s">
        <v>31</v>
      </c>
      <c r="Y13">
        <v>0</v>
      </c>
      <c r="Z13">
        <v>0</v>
      </c>
      <c r="AA13" t="s">
        <v>34</v>
      </c>
      <c r="AC13" s="56" t="s">
        <v>30</v>
      </c>
    </row>
    <row r="14" spans="1:64">
      <c r="A14" t="s">
        <v>76</v>
      </c>
      <c r="B14" t="s">
        <v>117</v>
      </c>
      <c r="C14" s="48">
        <v>44867</v>
      </c>
      <c r="D14" s="44">
        <v>100000</v>
      </c>
      <c r="E14" t="s">
        <v>33</v>
      </c>
      <c r="F14" t="s">
        <v>32</v>
      </c>
      <c r="G14" s="44">
        <v>100000</v>
      </c>
      <c r="H14" s="44">
        <v>60000</v>
      </c>
      <c r="I14" s="47">
        <v>60</v>
      </c>
      <c r="J14" s="44">
        <v>119920</v>
      </c>
      <c r="K14" s="44">
        <v>100000</v>
      </c>
      <c r="L14" s="44">
        <v>119920</v>
      </c>
      <c r="M14" s="46">
        <v>0</v>
      </c>
      <c r="N14" s="45">
        <v>0</v>
      </c>
      <c r="O14" s="42">
        <v>31</v>
      </c>
      <c r="P14" s="42">
        <v>31</v>
      </c>
      <c r="Q14" s="44" t="e">
        <v>#DIV/0!</v>
      </c>
      <c r="R14" s="44">
        <v>3225.8064516129034</v>
      </c>
      <c r="S14" s="43">
        <v>7.4054326253739741E-2</v>
      </c>
      <c r="T14" s="42">
        <v>0</v>
      </c>
      <c r="U14" s="54" t="s">
        <v>94</v>
      </c>
      <c r="V14" t="s">
        <v>77</v>
      </c>
      <c r="X14" t="s">
        <v>31</v>
      </c>
      <c r="Y14">
        <v>0</v>
      </c>
      <c r="Z14">
        <v>0</v>
      </c>
      <c r="AA14" t="s">
        <v>34</v>
      </c>
      <c r="AC14" s="56" t="s">
        <v>30</v>
      </c>
    </row>
    <row r="15" spans="1:64">
      <c r="C15"/>
      <c r="D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54"/>
      <c r="AC15" s="56"/>
    </row>
    <row r="16" spans="1:64">
      <c r="A16" t="s">
        <v>78</v>
      </c>
      <c r="B16" t="s">
        <v>118</v>
      </c>
      <c r="C16" s="48">
        <v>44342</v>
      </c>
      <c r="D16" s="44">
        <v>322500</v>
      </c>
      <c r="E16" t="s">
        <v>33</v>
      </c>
      <c r="F16" t="s">
        <v>32</v>
      </c>
      <c r="G16" s="44">
        <v>322500</v>
      </c>
      <c r="H16" s="44">
        <v>149400</v>
      </c>
      <c r="I16" s="47">
        <v>46.325581395348834</v>
      </c>
      <c r="J16" s="44">
        <v>298800</v>
      </c>
      <c r="K16" s="44">
        <v>322500</v>
      </c>
      <c r="L16" s="44">
        <v>298800</v>
      </c>
      <c r="M16" s="46">
        <v>0</v>
      </c>
      <c r="N16" s="45">
        <v>0</v>
      </c>
      <c r="O16" s="42">
        <v>82.88</v>
      </c>
      <c r="P16" s="42">
        <v>82.88</v>
      </c>
      <c r="Q16" s="44" t="e">
        <v>#DIV/0!</v>
      </c>
      <c r="R16" s="44">
        <v>3891.167953667954</v>
      </c>
      <c r="S16" s="43">
        <v>8.9328924556197287E-2</v>
      </c>
      <c r="T16" s="42">
        <v>0</v>
      </c>
      <c r="U16" s="54" t="s">
        <v>94</v>
      </c>
      <c r="V16" t="s">
        <v>79</v>
      </c>
      <c r="X16" t="s">
        <v>31</v>
      </c>
      <c r="Y16">
        <v>0</v>
      </c>
      <c r="Z16">
        <v>1</v>
      </c>
      <c r="AA16" s="55">
        <v>33745</v>
      </c>
      <c r="AC16" s="56" t="s">
        <v>30</v>
      </c>
    </row>
    <row r="17" spans="1:32">
      <c r="A17" t="s">
        <v>80</v>
      </c>
      <c r="B17" t="s">
        <v>119</v>
      </c>
      <c r="C17" s="48">
        <v>44236</v>
      </c>
      <c r="D17" s="44">
        <v>105000</v>
      </c>
      <c r="E17" t="s">
        <v>33</v>
      </c>
      <c r="F17" t="s">
        <v>32</v>
      </c>
      <c r="G17" s="44">
        <v>105000</v>
      </c>
      <c r="H17" s="44">
        <v>45300</v>
      </c>
      <c r="I17" s="47">
        <v>43.142857142857146</v>
      </c>
      <c r="J17" s="44">
        <v>90698</v>
      </c>
      <c r="K17" s="44">
        <v>105000</v>
      </c>
      <c r="L17" s="44">
        <v>90698</v>
      </c>
      <c r="M17" s="46">
        <v>0</v>
      </c>
      <c r="N17" s="45">
        <v>0</v>
      </c>
      <c r="O17" s="42">
        <v>26.72</v>
      </c>
      <c r="P17" s="42">
        <v>26.72</v>
      </c>
      <c r="Q17" s="44" t="e">
        <v>#DIV/0!</v>
      </c>
      <c r="R17" s="44">
        <v>3929.6407185628746</v>
      </c>
      <c r="S17" s="43">
        <v>9.0212137708054974E-2</v>
      </c>
      <c r="T17" s="42">
        <v>0</v>
      </c>
      <c r="U17" s="54" t="s">
        <v>94</v>
      </c>
      <c r="V17" t="s">
        <v>81</v>
      </c>
      <c r="X17" t="s">
        <v>31</v>
      </c>
      <c r="Y17">
        <v>0</v>
      </c>
      <c r="Z17">
        <v>1</v>
      </c>
      <c r="AA17" s="55">
        <v>33745</v>
      </c>
      <c r="AC17" s="56" t="s">
        <v>30</v>
      </c>
    </row>
    <row r="18" spans="1:32" ht="15" thickBot="1">
      <c r="A18" t="s">
        <v>82</v>
      </c>
      <c r="B18" t="s">
        <v>120</v>
      </c>
      <c r="C18" s="48">
        <v>43747</v>
      </c>
      <c r="D18" s="44">
        <v>165000</v>
      </c>
      <c r="E18" t="s">
        <v>33</v>
      </c>
      <c r="F18" t="s">
        <v>32</v>
      </c>
      <c r="G18" s="44">
        <v>165000</v>
      </c>
      <c r="H18" s="44">
        <v>192600</v>
      </c>
      <c r="I18" s="47">
        <v>116.72727272727272</v>
      </c>
      <c r="J18" s="44">
        <v>385235</v>
      </c>
      <c r="K18" s="44">
        <v>-77435</v>
      </c>
      <c r="L18" s="44">
        <v>142800</v>
      </c>
      <c r="M18" s="46">
        <v>0</v>
      </c>
      <c r="N18" s="45">
        <v>0</v>
      </c>
      <c r="O18" s="42">
        <v>36</v>
      </c>
      <c r="P18" s="42">
        <v>40</v>
      </c>
      <c r="Q18" s="44" t="e">
        <v>#DIV/0!</v>
      </c>
      <c r="R18" s="44">
        <v>-2150.9722222222222</v>
      </c>
      <c r="S18" s="43">
        <v>-4.9379527599224565E-2</v>
      </c>
      <c r="T18" s="42">
        <v>0</v>
      </c>
      <c r="U18" s="54" t="s">
        <v>94</v>
      </c>
      <c r="V18" t="s">
        <v>121</v>
      </c>
      <c r="X18" t="s">
        <v>31</v>
      </c>
      <c r="Y18">
        <v>0</v>
      </c>
      <c r="Z18">
        <v>0</v>
      </c>
      <c r="AA18" t="s">
        <v>34</v>
      </c>
      <c r="AC18" s="56" t="s">
        <v>112</v>
      </c>
    </row>
    <row r="19" spans="1:32" ht="15" thickTop="1">
      <c r="A19" s="57"/>
      <c r="B19" s="57"/>
      <c r="C19" s="72" t="s">
        <v>29</v>
      </c>
      <c r="D19" s="64">
        <v>4550200</v>
      </c>
      <c r="E19" s="57"/>
      <c r="F19" s="57"/>
      <c r="G19" s="64">
        <v>4550200</v>
      </c>
      <c r="H19" s="64">
        <v>1375700</v>
      </c>
      <c r="I19" s="68"/>
      <c r="J19" s="64">
        <v>2596887</v>
      </c>
      <c r="K19" s="64">
        <v>4236031</v>
      </c>
      <c r="L19" s="64">
        <v>2282718</v>
      </c>
      <c r="M19" s="76">
        <v>0</v>
      </c>
      <c r="N19" s="79"/>
      <c r="O19" s="83">
        <v>648.68299999999999</v>
      </c>
      <c r="P19" s="83">
        <v>597.63300000000004</v>
      </c>
      <c r="Q19" s="64"/>
      <c r="R19" s="64"/>
      <c r="S19" s="87"/>
      <c r="T19" s="83"/>
      <c r="U19" s="58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</row>
    <row r="20" spans="1:32">
      <c r="A20" s="59"/>
      <c r="B20" s="59"/>
      <c r="C20" s="73"/>
      <c r="D20" s="65"/>
      <c r="E20" s="59"/>
      <c r="F20" s="59"/>
      <c r="G20" s="65"/>
      <c r="H20" s="65" t="s">
        <v>28</v>
      </c>
      <c r="I20" s="69">
        <v>30.233835875346138</v>
      </c>
      <c r="J20" s="65"/>
      <c r="K20" s="65"/>
      <c r="L20" s="65" t="s">
        <v>27</v>
      </c>
      <c r="M20" s="77"/>
      <c r="N20" s="80"/>
      <c r="O20" s="84" t="s">
        <v>27</v>
      </c>
      <c r="P20" s="84"/>
      <c r="Q20" s="65"/>
      <c r="R20" s="65" t="s">
        <v>27</v>
      </c>
      <c r="S20" s="88"/>
      <c r="T20" s="84"/>
      <c r="U20" s="60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</row>
    <row r="21" spans="1:32">
      <c r="A21" s="61"/>
      <c r="B21" s="61"/>
      <c r="C21" s="74"/>
      <c r="D21" s="66"/>
      <c r="E21" s="61"/>
      <c r="F21" s="61"/>
      <c r="G21" s="66"/>
      <c r="H21" s="66" t="s">
        <v>26</v>
      </c>
      <c r="I21" s="70">
        <v>32.554804204792646</v>
      </c>
      <c r="J21" s="66"/>
      <c r="K21" s="66"/>
      <c r="L21" s="66" t="s">
        <v>25</v>
      </c>
      <c r="M21" s="90" t="e">
        <v>#DIV/0!</v>
      </c>
      <c r="N21" s="81"/>
      <c r="O21" s="85" t="s">
        <v>24</v>
      </c>
      <c r="P21" s="85">
        <v>6530.2019630543737</v>
      </c>
      <c r="Q21" s="66"/>
      <c r="R21" s="66" t="s">
        <v>23</v>
      </c>
      <c r="S21" s="89">
        <v>0.14991280906920049</v>
      </c>
      <c r="T21" s="85"/>
      <c r="U21" s="62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</row>
  </sheetData>
  <conditionalFormatting sqref="A2:AC7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41"/>
  <sheetViews>
    <sheetView topLeftCell="A15" workbookViewId="0">
      <selection activeCell="B46" sqref="B46:D53"/>
    </sheetView>
  </sheetViews>
  <sheetFormatPr defaultRowHeight="14.4"/>
  <cols>
    <col min="1" max="1" width="14.33203125" bestFit="1" customWidth="1"/>
    <col min="2" max="2" width="16.109375" bestFit="1" customWidth="1"/>
    <col min="3" max="3" width="10.6640625" bestFit="1" customWidth="1"/>
    <col min="4" max="4" width="9.5546875" bestFit="1" customWidth="1"/>
    <col min="5" max="5" width="5.5546875" bestFit="1" customWidth="1"/>
    <col min="6" max="6" width="16.6640625" bestFit="1" customWidth="1"/>
    <col min="7" max="7" width="13.6640625" bestFit="1" customWidth="1"/>
    <col min="8" max="8" width="12.6640625" bestFit="1" customWidth="1"/>
    <col min="9" max="9" width="12.88671875" bestFit="1" customWidth="1"/>
    <col min="10" max="10" width="13.44140625" bestFit="1" customWidth="1"/>
    <col min="11" max="11" width="13.33203125" bestFit="1" customWidth="1"/>
    <col min="12" max="12" width="14.44140625" bestFit="1" customWidth="1"/>
    <col min="13" max="13" width="11.109375" bestFit="1" customWidth="1"/>
    <col min="14" max="14" width="6.44140625" bestFit="1" customWidth="1"/>
    <col min="15" max="15" width="14.33203125" bestFit="1" customWidth="1"/>
    <col min="16" max="16" width="10.6640625" bestFit="1" customWidth="1"/>
    <col min="17" max="17" width="11.88671875" bestFit="1" customWidth="1"/>
    <col min="18" max="18" width="11.6640625" bestFit="1" customWidth="1"/>
    <col min="19" max="19" width="8.6640625" bestFit="1" customWidth="1"/>
    <col min="20" max="20" width="10.5546875" bestFit="1" customWidth="1"/>
    <col min="21" max="21" width="26.88671875" bestFit="1" customWidth="1"/>
    <col min="22" max="22" width="25.6640625" bestFit="1" customWidth="1"/>
    <col min="23" max="23" width="13.33203125" bestFit="1" customWidth="1"/>
    <col min="24" max="24" width="23.6640625" bestFit="1" customWidth="1"/>
    <col min="25" max="25" width="15" bestFit="1" customWidth="1"/>
    <col min="26" max="26" width="9.44140625" bestFit="1" customWidth="1"/>
    <col min="27" max="27" width="9.6640625" bestFit="1" customWidth="1"/>
    <col min="28" max="30" width="12.44140625" bestFit="1" customWidth="1"/>
  </cols>
  <sheetData>
    <row r="1" spans="1:65">
      <c r="A1" s="52" t="s">
        <v>63</v>
      </c>
      <c r="B1" s="52" t="s">
        <v>62</v>
      </c>
      <c r="C1" s="71" t="s">
        <v>61</v>
      </c>
      <c r="D1" s="63" t="s">
        <v>60</v>
      </c>
      <c r="E1" s="52" t="s">
        <v>59</v>
      </c>
      <c r="F1" s="52" t="s">
        <v>58</v>
      </c>
      <c r="G1" s="63" t="s">
        <v>501</v>
      </c>
      <c r="H1" s="63" t="s">
        <v>56</v>
      </c>
      <c r="I1" s="67" t="s">
        <v>55</v>
      </c>
      <c r="J1" s="63" t="s">
        <v>54</v>
      </c>
      <c r="K1" s="63" t="s">
        <v>53</v>
      </c>
      <c r="L1" s="63" t="s">
        <v>52</v>
      </c>
      <c r="M1" s="75" t="s">
        <v>51</v>
      </c>
      <c r="N1" s="78" t="s">
        <v>50</v>
      </c>
      <c r="O1" s="82" t="s">
        <v>49</v>
      </c>
      <c r="P1" s="82" t="s">
        <v>48</v>
      </c>
      <c r="Q1" s="86" t="s">
        <v>45</v>
      </c>
      <c r="R1" s="82" t="s">
        <v>44</v>
      </c>
      <c r="S1" s="53" t="s">
        <v>43</v>
      </c>
      <c r="T1" s="52" t="s">
        <v>42</v>
      </c>
      <c r="U1" s="52" t="s">
        <v>41</v>
      </c>
      <c r="V1" s="52" t="s">
        <v>40</v>
      </c>
      <c r="W1" s="52" t="s">
        <v>39</v>
      </c>
      <c r="X1" s="52" t="s">
        <v>38</v>
      </c>
      <c r="Y1" s="52" t="s">
        <v>37</v>
      </c>
      <c r="Z1" s="52" t="s">
        <v>36</v>
      </c>
      <c r="AA1" s="52" t="s">
        <v>35</v>
      </c>
      <c r="AB1" s="52" t="s">
        <v>89</v>
      </c>
      <c r="AC1" s="52" t="s">
        <v>90</v>
      </c>
      <c r="AD1" s="52" t="s">
        <v>91</v>
      </c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5">
      <c r="A2" t="s">
        <v>502</v>
      </c>
      <c r="B2" t="s">
        <v>503</v>
      </c>
      <c r="C2" s="48">
        <v>43445</v>
      </c>
      <c r="D2" s="44">
        <v>290000</v>
      </c>
      <c r="E2" t="s">
        <v>33</v>
      </c>
      <c r="F2" t="s">
        <v>32</v>
      </c>
      <c r="G2" s="44">
        <v>290000</v>
      </c>
      <c r="H2" s="44">
        <v>79400</v>
      </c>
      <c r="I2" s="47">
        <v>27.379310344827584</v>
      </c>
      <c r="J2" s="44">
        <v>204647</v>
      </c>
      <c r="K2" s="44">
        <v>160121</v>
      </c>
      <c r="L2" s="44">
        <v>74768</v>
      </c>
      <c r="M2" s="46">
        <v>0</v>
      </c>
      <c r="N2" s="45">
        <v>0</v>
      </c>
      <c r="O2" s="42">
        <v>3.39</v>
      </c>
      <c r="P2" s="42">
        <v>3.3889999999999998</v>
      </c>
      <c r="Q2" s="43">
        <v>0.91439610944359939</v>
      </c>
      <c r="R2" s="42">
        <v>0</v>
      </c>
      <c r="S2" s="54" t="s">
        <v>504</v>
      </c>
      <c r="T2" t="s">
        <v>505</v>
      </c>
      <c r="U2" t="s">
        <v>506</v>
      </c>
      <c r="V2" t="s">
        <v>507</v>
      </c>
      <c r="W2">
        <v>0</v>
      </c>
      <c r="X2">
        <v>1</v>
      </c>
      <c r="Y2" s="55">
        <v>38313</v>
      </c>
      <c r="AA2" s="56" t="s">
        <v>508</v>
      </c>
    </row>
    <row r="3" spans="1:65">
      <c r="A3" t="s">
        <v>509</v>
      </c>
      <c r="B3" t="s">
        <v>510</v>
      </c>
      <c r="C3" s="48">
        <v>43808</v>
      </c>
      <c r="D3" s="44">
        <v>195000</v>
      </c>
      <c r="E3" t="s">
        <v>152</v>
      </c>
      <c r="F3" t="s">
        <v>32</v>
      </c>
      <c r="G3" s="44">
        <v>195000</v>
      </c>
      <c r="H3" s="44">
        <v>87000</v>
      </c>
      <c r="I3" s="47">
        <v>44.61538461538462</v>
      </c>
      <c r="J3" s="44">
        <v>174033</v>
      </c>
      <c r="K3" s="44">
        <v>77387</v>
      </c>
      <c r="L3" s="44">
        <v>56420</v>
      </c>
      <c r="M3" s="46">
        <v>0</v>
      </c>
      <c r="N3" s="45">
        <v>0</v>
      </c>
      <c r="O3" s="42">
        <v>1.4610000000000001</v>
      </c>
      <c r="P3" s="42">
        <v>1.4610000000000001</v>
      </c>
      <c r="Q3" s="43">
        <v>1.2159897776847561</v>
      </c>
      <c r="R3" s="42">
        <v>0</v>
      </c>
      <c r="S3" s="54" t="s">
        <v>504</v>
      </c>
      <c r="T3" t="s">
        <v>511</v>
      </c>
      <c r="V3" t="s">
        <v>507</v>
      </c>
      <c r="W3">
        <v>0</v>
      </c>
      <c r="X3">
        <v>0</v>
      </c>
      <c r="Y3" t="s">
        <v>34</v>
      </c>
      <c r="AA3" s="56" t="s">
        <v>508</v>
      </c>
    </row>
    <row r="4" spans="1:65">
      <c r="A4" t="s">
        <v>512</v>
      </c>
      <c r="B4" t="s">
        <v>513</v>
      </c>
      <c r="C4" s="48">
        <v>44867</v>
      </c>
      <c r="D4" s="44">
        <v>25000</v>
      </c>
      <c r="E4" t="s">
        <v>33</v>
      </c>
      <c r="F4" t="s">
        <v>32</v>
      </c>
      <c r="G4" s="44">
        <v>25000</v>
      </c>
      <c r="H4" s="44">
        <v>7600</v>
      </c>
      <c r="I4" s="47">
        <v>30.4</v>
      </c>
      <c r="J4" s="44">
        <v>15237</v>
      </c>
      <c r="K4" s="44">
        <v>25000</v>
      </c>
      <c r="L4" s="44">
        <v>14466</v>
      </c>
      <c r="M4" s="46">
        <v>0</v>
      </c>
      <c r="N4" s="45">
        <v>0</v>
      </c>
      <c r="O4" s="42">
        <v>0.41699999999999998</v>
      </c>
      <c r="P4" s="42">
        <v>0.41699999999999998</v>
      </c>
      <c r="Q4" s="43">
        <v>1.3763094207829329</v>
      </c>
      <c r="R4" s="42">
        <v>0</v>
      </c>
      <c r="S4" s="54" t="s">
        <v>514</v>
      </c>
      <c r="T4" t="s">
        <v>515</v>
      </c>
      <c r="V4" t="s">
        <v>507</v>
      </c>
      <c r="W4">
        <v>0</v>
      </c>
      <c r="X4">
        <v>0</v>
      </c>
      <c r="Y4" t="s">
        <v>34</v>
      </c>
      <c r="AA4" s="56" t="s">
        <v>516</v>
      </c>
      <c r="AJ4" s="3"/>
      <c r="BA4" s="3"/>
      <c r="BC4" s="3"/>
    </row>
    <row r="5" spans="1:65">
      <c r="A5" t="s">
        <v>517</v>
      </c>
      <c r="B5" t="s">
        <v>518</v>
      </c>
      <c r="C5" s="48">
        <v>44392</v>
      </c>
      <c r="D5" s="44">
        <v>398900</v>
      </c>
      <c r="E5" t="s">
        <v>33</v>
      </c>
      <c r="F5" t="s">
        <v>32</v>
      </c>
      <c r="G5" s="44">
        <v>373900</v>
      </c>
      <c r="H5" s="44">
        <v>168800</v>
      </c>
      <c r="I5" s="47">
        <v>45.145760898635999</v>
      </c>
      <c r="J5" s="44">
        <v>337515</v>
      </c>
      <c r="K5" s="44">
        <v>77632</v>
      </c>
      <c r="L5" s="44">
        <v>41247</v>
      </c>
      <c r="M5" s="46">
        <v>0</v>
      </c>
      <c r="N5" s="45">
        <v>0</v>
      </c>
      <c r="O5" s="42">
        <v>1.0820000000000001</v>
      </c>
      <c r="P5" s="42">
        <v>1.0820000000000001</v>
      </c>
      <c r="Q5" s="43">
        <v>1.6471215261334569</v>
      </c>
      <c r="R5" s="42">
        <v>0</v>
      </c>
      <c r="S5" s="54" t="s">
        <v>504</v>
      </c>
      <c r="T5" t="s">
        <v>519</v>
      </c>
      <c r="V5" t="s">
        <v>507</v>
      </c>
      <c r="W5">
        <v>0</v>
      </c>
      <c r="X5">
        <v>0</v>
      </c>
      <c r="Y5" t="s">
        <v>34</v>
      </c>
      <c r="AA5" s="56" t="s">
        <v>508</v>
      </c>
    </row>
    <row r="6" spans="1:65">
      <c r="A6" t="s">
        <v>502</v>
      </c>
      <c r="B6" t="s">
        <v>503</v>
      </c>
      <c r="C6" s="48">
        <v>44910</v>
      </c>
      <c r="D6" s="44">
        <v>399900</v>
      </c>
      <c r="E6" t="s">
        <v>152</v>
      </c>
      <c r="F6" t="s">
        <v>32</v>
      </c>
      <c r="G6" s="44">
        <v>399900</v>
      </c>
      <c r="H6" s="44">
        <v>118300</v>
      </c>
      <c r="I6" s="47">
        <v>29.582395598899723</v>
      </c>
      <c r="J6" s="44">
        <v>236564</v>
      </c>
      <c r="K6" s="44">
        <v>259027</v>
      </c>
      <c r="L6" s="44">
        <v>95691</v>
      </c>
      <c r="M6" s="46">
        <v>0</v>
      </c>
      <c r="N6" s="45">
        <v>0</v>
      </c>
      <c r="O6" s="42">
        <v>3.3889999999999998</v>
      </c>
      <c r="P6" s="42">
        <v>3.3889999999999998</v>
      </c>
      <c r="Q6" s="43">
        <v>1.7546301828337292</v>
      </c>
      <c r="R6" s="42">
        <v>0</v>
      </c>
      <c r="S6" s="54" t="s">
        <v>504</v>
      </c>
      <c r="T6" t="s">
        <v>520</v>
      </c>
      <c r="V6" t="s">
        <v>507</v>
      </c>
      <c r="W6">
        <v>0</v>
      </c>
      <c r="X6">
        <v>1</v>
      </c>
      <c r="Y6" s="55">
        <v>38313</v>
      </c>
      <c r="AA6" s="56" t="s">
        <v>508</v>
      </c>
    </row>
    <row r="7" spans="1:65">
      <c r="A7" s="156" t="s">
        <v>521</v>
      </c>
      <c r="B7" s="156" t="s">
        <v>522</v>
      </c>
      <c r="C7" s="157">
        <v>44194</v>
      </c>
      <c r="D7" s="158">
        <v>10000</v>
      </c>
      <c r="E7" s="156" t="s">
        <v>33</v>
      </c>
      <c r="F7" s="156" t="s">
        <v>32</v>
      </c>
      <c r="G7" s="158">
        <v>10000</v>
      </c>
      <c r="H7" s="158">
        <v>30500</v>
      </c>
      <c r="I7" s="156">
        <v>305</v>
      </c>
      <c r="J7" s="158">
        <v>15685</v>
      </c>
      <c r="K7" s="158">
        <v>10000</v>
      </c>
      <c r="L7" s="158">
        <v>15685</v>
      </c>
      <c r="M7" s="156">
        <v>68.7</v>
      </c>
      <c r="N7" s="156">
        <v>257.39999999999998</v>
      </c>
      <c r="O7" s="156">
        <v>3.9</v>
      </c>
      <c r="P7" s="156">
        <v>3.9</v>
      </c>
      <c r="Q7" s="159">
        <v>0.06</v>
      </c>
      <c r="R7" s="156">
        <v>68.69</v>
      </c>
      <c r="S7" s="160" t="s">
        <v>523</v>
      </c>
      <c r="T7" s="156" t="s">
        <v>524</v>
      </c>
      <c r="U7" s="156"/>
      <c r="V7" s="156" t="s">
        <v>525</v>
      </c>
      <c r="W7" s="156">
        <v>0</v>
      </c>
      <c r="X7" s="156">
        <v>0</v>
      </c>
      <c r="Y7" s="157">
        <v>44355</v>
      </c>
      <c r="Z7" s="156" t="s">
        <v>526</v>
      </c>
      <c r="AA7" s="200">
        <v>202</v>
      </c>
      <c r="AB7" s="200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</row>
    <row r="8" spans="1:65">
      <c r="A8" t="s">
        <v>527</v>
      </c>
      <c r="B8" t="s">
        <v>528</v>
      </c>
      <c r="C8" s="48">
        <v>43473</v>
      </c>
      <c r="D8" s="44">
        <v>40000</v>
      </c>
      <c r="E8" t="s">
        <v>33</v>
      </c>
      <c r="F8" t="s">
        <v>32</v>
      </c>
      <c r="G8" s="44">
        <v>40000</v>
      </c>
      <c r="H8" s="44">
        <v>0</v>
      </c>
      <c r="I8" s="47">
        <v>0</v>
      </c>
      <c r="J8" s="44">
        <v>47496</v>
      </c>
      <c r="K8" s="44">
        <v>40000</v>
      </c>
      <c r="L8" s="44">
        <v>47496</v>
      </c>
      <c r="M8" s="46">
        <v>0</v>
      </c>
      <c r="N8" s="45">
        <v>0</v>
      </c>
      <c r="O8" s="42">
        <v>1.9239999999999999</v>
      </c>
      <c r="P8" s="42">
        <v>1.9239999999999999</v>
      </c>
      <c r="Q8" s="43">
        <v>0.47727320454593181</v>
      </c>
      <c r="R8" s="42">
        <v>0</v>
      </c>
      <c r="S8" s="54" t="s">
        <v>529</v>
      </c>
      <c r="T8" t="s">
        <v>530</v>
      </c>
      <c r="V8" t="s">
        <v>507</v>
      </c>
      <c r="W8">
        <v>0</v>
      </c>
      <c r="X8">
        <v>0</v>
      </c>
      <c r="Y8" s="55">
        <v>40096</v>
      </c>
      <c r="AA8" s="56" t="s">
        <v>516</v>
      </c>
    </row>
    <row r="9" spans="1:65">
      <c r="A9" t="s">
        <v>531</v>
      </c>
      <c r="B9" t="s">
        <v>532</v>
      </c>
      <c r="C9" s="48">
        <v>44680</v>
      </c>
      <c r="D9" s="44">
        <v>220000</v>
      </c>
      <c r="E9" t="s">
        <v>33</v>
      </c>
      <c r="F9" t="s">
        <v>32</v>
      </c>
      <c r="G9" s="44">
        <v>220000</v>
      </c>
      <c r="H9" s="44">
        <v>99600</v>
      </c>
      <c r="I9" s="47">
        <v>45.272727272727273</v>
      </c>
      <c r="J9" s="44">
        <v>212964</v>
      </c>
      <c r="K9" s="44">
        <v>55503</v>
      </c>
      <c r="L9" s="44">
        <v>48467</v>
      </c>
      <c r="M9" s="46">
        <v>0</v>
      </c>
      <c r="N9" s="45">
        <v>0</v>
      </c>
      <c r="O9" s="42">
        <v>1.66</v>
      </c>
      <c r="P9" s="42">
        <v>1.66</v>
      </c>
      <c r="Q9" s="43">
        <v>0.76757442995120984</v>
      </c>
      <c r="R9" s="42">
        <v>0</v>
      </c>
      <c r="S9" s="54" t="s">
        <v>529</v>
      </c>
      <c r="T9" t="s">
        <v>533</v>
      </c>
      <c r="V9" t="s">
        <v>507</v>
      </c>
      <c r="W9">
        <v>0</v>
      </c>
      <c r="X9">
        <v>0</v>
      </c>
      <c r="Y9" s="55">
        <v>39738</v>
      </c>
      <c r="AA9" s="56" t="s">
        <v>508</v>
      </c>
    </row>
    <row r="10" spans="1:65">
      <c r="A10" t="s">
        <v>534</v>
      </c>
      <c r="B10" t="s">
        <v>535</v>
      </c>
      <c r="C10" s="48">
        <v>43992</v>
      </c>
      <c r="D10" s="44">
        <v>240000</v>
      </c>
      <c r="E10" t="s">
        <v>33</v>
      </c>
      <c r="F10" t="s">
        <v>32</v>
      </c>
      <c r="G10" s="44">
        <v>240000</v>
      </c>
      <c r="H10" s="44">
        <v>84900</v>
      </c>
      <c r="I10" s="47">
        <v>35.375</v>
      </c>
      <c r="J10" s="44">
        <v>242257</v>
      </c>
      <c r="K10" s="44">
        <v>55020</v>
      </c>
      <c r="L10" s="44">
        <v>57277</v>
      </c>
      <c r="M10" s="46">
        <v>275.46666699999997</v>
      </c>
      <c r="N10" s="45">
        <v>320</v>
      </c>
      <c r="O10" s="42">
        <v>1.968</v>
      </c>
      <c r="P10" s="42">
        <v>1.968</v>
      </c>
      <c r="Q10" s="43">
        <v>0.64181168671190847</v>
      </c>
      <c r="R10" s="42">
        <v>282.95</v>
      </c>
      <c r="S10" s="54" t="s">
        <v>529</v>
      </c>
      <c r="T10" t="s">
        <v>536</v>
      </c>
      <c r="V10" t="s">
        <v>507</v>
      </c>
      <c r="W10">
        <v>0</v>
      </c>
      <c r="X10">
        <v>0</v>
      </c>
      <c r="Y10" s="55">
        <v>39738</v>
      </c>
      <c r="AA10" s="56" t="s">
        <v>508</v>
      </c>
    </row>
    <row r="11" spans="1:65">
      <c r="A11" t="s">
        <v>537</v>
      </c>
      <c r="B11" t="s">
        <v>538</v>
      </c>
      <c r="C11" s="48">
        <v>44435</v>
      </c>
      <c r="D11" s="44">
        <v>70000</v>
      </c>
      <c r="E11" t="s">
        <v>33</v>
      </c>
      <c r="F11" t="s">
        <v>32</v>
      </c>
      <c r="G11" s="44">
        <v>70000</v>
      </c>
      <c r="H11" s="44">
        <v>40900</v>
      </c>
      <c r="I11" s="47">
        <v>58.428571428571431</v>
      </c>
      <c r="J11" s="44">
        <v>23829</v>
      </c>
      <c r="K11" s="44">
        <v>70000</v>
      </c>
      <c r="L11" s="44">
        <v>23829</v>
      </c>
      <c r="M11" s="46">
        <v>0</v>
      </c>
      <c r="N11" s="45">
        <v>0</v>
      </c>
      <c r="O11" s="42">
        <v>1.93</v>
      </c>
      <c r="P11" s="42">
        <v>1.9570000000000001</v>
      </c>
      <c r="Q11" s="43">
        <v>0.83263154388919813</v>
      </c>
      <c r="R11" s="42">
        <v>0</v>
      </c>
      <c r="S11" s="54" t="s">
        <v>529</v>
      </c>
      <c r="T11" t="s">
        <v>539</v>
      </c>
      <c r="U11" t="s">
        <v>540</v>
      </c>
      <c r="V11" t="s">
        <v>507</v>
      </c>
      <c r="W11">
        <v>0</v>
      </c>
      <c r="X11">
        <v>0</v>
      </c>
      <c r="Y11" t="s">
        <v>34</v>
      </c>
      <c r="AA11" s="56" t="s">
        <v>508</v>
      </c>
    </row>
    <row r="12" spans="1:65">
      <c r="A12" s="156" t="s">
        <v>541</v>
      </c>
      <c r="B12" s="156" t="s">
        <v>542</v>
      </c>
      <c r="C12" s="157">
        <v>43818</v>
      </c>
      <c r="D12" s="158">
        <v>273000</v>
      </c>
      <c r="E12" s="156" t="s">
        <v>33</v>
      </c>
      <c r="F12" s="156" t="s">
        <v>32</v>
      </c>
      <c r="G12" s="158">
        <v>273000</v>
      </c>
      <c r="H12" s="158">
        <v>80700</v>
      </c>
      <c r="I12" s="156">
        <v>29.56</v>
      </c>
      <c r="J12" s="158">
        <v>281062</v>
      </c>
      <c r="K12" s="158">
        <v>273000</v>
      </c>
      <c r="L12" s="158">
        <v>267001</v>
      </c>
      <c r="M12" s="156">
        <v>0</v>
      </c>
      <c r="N12" s="156">
        <v>0</v>
      </c>
      <c r="O12" s="156">
        <v>22.54</v>
      </c>
      <c r="P12" s="156">
        <v>13.59</v>
      </c>
      <c r="Q12" s="156" t="e">
        <v>#DIV/0!</v>
      </c>
      <c r="R12" s="158">
        <v>12112</v>
      </c>
      <c r="S12" s="159">
        <v>0.28000000000000003</v>
      </c>
      <c r="T12" s="156">
        <v>0</v>
      </c>
      <c r="U12" s="160" t="s">
        <v>543</v>
      </c>
      <c r="V12" s="156" t="s">
        <v>544</v>
      </c>
      <c r="W12" s="156" t="s">
        <v>545</v>
      </c>
      <c r="X12" s="156" t="s">
        <v>546</v>
      </c>
      <c r="Y12" s="156">
        <v>0</v>
      </c>
      <c r="Z12" s="156">
        <v>1</v>
      </c>
      <c r="AA12" s="157">
        <v>44011</v>
      </c>
      <c r="AB12" s="156" t="s">
        <v>526</v>
      </c>
      <c r="AC12" s="200">
        <v>1</v>
      </c>
      <c r="AD12" s="200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</row>
    <row r="13" spans="1:65" ht="15" thickBot="1">
      <c r="A13" t="s">
        <v>547</v>
      </c>
      <c r="B13" t="s">
        <v>548</v>
      </c>
      <c r="C13" s="48">
        <v>44112</v>
      </c>
      <c r="D13" s="44">
        <v>800000</v>
      </c>
      <c r="E13" t="s">
        <v>33</v>
      </c>
      <c r="F13" t="s">
        <v>32</v>
      </c>
      <c r="G13" s="44">
        <v>800000</v>
      </c>
      <c r="H13" s="44">
        <v>135900</v>
      </c>
      <c r="I13" s="47">
        <v>16.987500000000001</v>
      </c>
      <c r="J13" s="44">
        <v>151778</v>
      </c>
      <c r="K13" s="44">
        <v>756222</v>
      </c>
      <c r="L13" s="44">
        <v>108000</v>
      </c>
      <c r="M13" s="46">
        <v>0</v>
      </c>
      <c r="N13" s="45">
        <v>0</v>
      </c>
      <c r="O13" s="42">
        <v>9.33</v>
      </c>
      <c r="P13" s="42">
        <v>9.33</v>
      </c>
      <c r="Q13" s="125">
        <v>1.8607147180663697</v>
      </c>
      <c r="R13" s="42">
        <v>0</v>
      </c>
      <c r="S13" s="54" t="s">
        <v>549</v>
      </c>
      <c r="T13" t="s">
        <v>550</v>
      </c>
      <c r="U13" t="s">
        <v>551</v>
      </c>
      <c r="V13" t="s">
        <v>507</v>
      </c>
      <c r="W13">
        <v>1</v>
      </c>
      <c r="X13">
        <v>0</v>
      </c>
      <c r="Y13" s="55">
        <v>33773</v>
      </c>
      <c r="AA13" s="56" t="s">
        <v>508</v>
      </c>
    </row>
    <row r="14" spans="1:65" ht="15" thickTop="1">
      <c r="A14" s="57"/>
      <c r="B14" s="57"/>
      <c r="C14" s="72" t="s">
        <v>29</v>
      </c>
      <c r="D14" s="64">
        <v>800000</v>
      </c>
      <c r="E14" s="57"/>
      <c r="F14" s="57"/>
      <c r="G14" s="64">
        <v>800000</v>
      </c>
      <c r="H14" s="64">
        <v>135900</v>
      </c>
      <c r="I14" s="68"/>
      <c r="J14" s="64">
        <v>151778</v>
      </c>
      <c r="K14" s="64">
        <v>1858912</v>
      </c>
      <c r="L14" s="64">
        <v>108000</v>
      </c>
      <c r="M14" s="76">
        <v>0</v>
      </c>
      <c r="N14" s="79"/>
      <c r="O14" s="83">
        <v>52.991</v>
      </c>
      <c r="P14" s="83">
        <v>9.33</v>
      </c>
      <c r="Q14" s="87"/>
      <c r="R14" s="83"/>
      <c r="S14" s="58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</row>
    <row r="15" spans="1:65" ht="15" thickBot="1">
      <c r="A15" s="59"/>
      <c r="B15" s="59"/>
      <c r="C15" s="73"/>
      <c r="D15" s="65"/>
      <c r="E15" s="59"/>
      <c r="F15" s="59"/>
      <c r="G15" s="65"/>
      <c r="H15" s="65" t="s">
        <v>28</v>
      </c>
      <c r="I15" s="69">
        <v>16.987500000000001</v>
      </c>
      <c r="J15" s="65"/>
      <c r="K15" s="65"/>
      <c r="L15" s="65" t="s">
        <v>27</v>
      </c>
      <c r="M15" s="77"/>
      <c r="N15" s="80"/>
      <c r="O15" s="84" t="s">
        <v>27</v>
      </c>
      <c r="P15" s="84"/>
      <c r="Q15" s="88"/>
      <c r="R15" s="84"/>
      <c r="S15" s="6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spans="1:65" ht="15" thickBot="1">
      <c r="A16" s="61"/>
      <c r="B16" s="61"/>
      <c r="C16" s="74"/>
      <c r="D16" s="66"/>
      <c r="E16" s="61"/>
      <c r="F16" s="61"/>
      <c r="G16" s="66"/>
      <c r="H16" s="66" t="s">
        <v>26</v>
      </c>
      <c r="I16" s="70" t="e">
        <v>#DIV/0!</v>
      </c>
      <c r="J16" s="66"/>
      <c r="K16" s="66"/>
      <c r="L16" s="66" t="s">
        <v>25</v>
      </c>
      <c r="M16" s="90" t="e">
        <v>#DIV/0!</v>
      </c>
      <c r="N16" s="81"/>
      <c r="O16" s="85" t="s">
        <v>24</v>
      </c>
      <c r="P16" s="85">
        <v>35079.768262535144</v>
      </c>
      <c r="Q16" s="162">
        <v>0.80532066718400197</v>
      </c>
      <c r="R16" s="85"/>
      <c r="S16" s="62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8" spans="1:63">
      <c r="A18" s="156" t="s">
        <v>521</v>
      </c>
      <c r="B18" s="156" t="s">
        <v>522</v>
      </c>
      <c r="C18" s="157">
        <v>44194</v>
      </c>
      <c r="D18" s="158">
        <v>10000</v>
      </c>
      <c r="E18" s="156" t="s">
        <v>33</v>
      </c>
      <c r="F18" s="156" t="s">
        <v>32</v>
      </c>
      <c r="G18" s="158">
        <v>10000</v>
      </c>
      <c r="H18" s="158">
        <v>30500</v>
      </c>
      <c r="I18" s="156">
        <v>305</v>
      </c>
      <c r="J18" s="158">
        <v>15685</v>
      </c>
      <c r="K18" s="158">
        <v>10000</v>
      </c>
      <c r="L18" s="158">
        <v>15685</v>
      </c>
      <c r="M18" s="156">
        <v>68.7</v>
      </c>
      <c r="N18" s="156">
        <v>257.39999999999998</v>
      </c>
      <c r="O18" s="156">
        <v>3.9</v>
      </c>
      <c r="P18" s="156">
        <v>3.9</v>
      </c>
      <c r="Q18" s="159">
        <v>0.06</v>
      </c>
      <c r="R18" s="156">
        <v>68.69</v>
      </c>
      <c r="S18" s="160" t="s">
        <v>523</v>
      </c>
      <c r="T18" s="156" t="s">
        <v>524</v>
      </c>
      <c r="U18" s="156"/>
      <c r="V18" s="156" t="s">
        <v>525</v>
      </c>
      <c r="W18" s="156">
        <v>0</v>
      </c>
      <c r="X18" s="156">
        <v>0</v>
      </c>
      <c r="Y18" s="157">
        <v>44355</v>
      </c>
      <c r="Z18" s="156" t="s">
        <v>526</v>
      </c>
      <c r="AA18" s="200">
        <v>202</v>
      </c>
      <c r="AB18" s="200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</row>
    <row r="19" spans="1:63">
      <c r="A19" t="s">
        <v>559</v>
      </c>
      <c r="B19" t="s">
        <v>560</v>
      </c>
      <c r="C19" s="48">
        <v>42776</v>
      </c>
      <c r="D19" s="44">
        <v>65600</v>
      </c>
      <c r="E19" t="s">
        <v>33</v>
      </c>
      <c r="F19" t="s">
        <v>32</v>
      </c>
      <c r="G19" s="44">
        <v>65600</v>
      </c>
      <c r="H19" s="44">
        <v>36700</v>
      </c>
      <c r="I19" s="47">
        <f>H19/G19*100</f>
        <v>55.945121951219512</v>
      </c>
      <c r="J19" s="44">
        <v>85155</v>
      </c>
      <c r="K19" s="44">
        <f>G19-61630</f>
        <v>3970</v>
      </c>
      <c r="L19" s="44">
        <v>23525</v>
      </c>
      <c r="M19" s="46">
        <v>0</v>
      </c>
      <c r="N19" s="45">
        <v>0</v>
      </c>
      <c r="O19" s="42">
        <v>0.83099999999999996</v>
      </c>
      <c r="P19" s="42">
        <v>0.83</v>
      </c>
      <c r="Q19" s="43">
        <f>K19/O19/43560</f>
        <v>0.10967347691994886</v>
      </c>
      <c r="R19" s="42">
        <v>0</v>
      </c>
      <c r="S19" s="54" t="s">
        <v>529</v>
      </c>
      <c r="V19" t="s">
        <v>507</v>
      </c>
      <c r="W19">
        <v>0</v>
      </c>
      <c r="X19">
        <v>0</v>
      </c>
      <c r="Y19" s="55">
        <v>39951</v>
      </c>
      <c r="AA19" s="56" t="s">
        <v>508</v>
      </c>
    </row>
    <row r="20" spans="1:63">
      <c r="A20" t="s">
        <v>540</v>
      </c>
      <c r="B20" t="s">
        <v>440</v>
      </c>
      <c r="C20" s="48">
        <v>44435</v>
      </c>
      <c r="D20" s="44">
        <v>70000</v>
      </c>
      <c r="E20" t="s">
        <v>33</v>
      </c>
      <c r="F20" t="s">
        <v>32</v>
      </c>
      <c r="G20" s="44">
        <f>70000*0.25</f>
        <v>17500</v>
      </c>
      <c r="H20" s="44">
        <v>15200</v>
      </c>
      <c r="I20" s="47">
        <f>H20/G20*100</f>
        <v>86.857142857142861</v>
      </c>
      <c r="J20" s="44">
        <v>23829</v>
      </c>
      <c r="K20" s="44">
        <f>G20-0</f>
        <v>17500</v>
      </c>
      <c r="L20" s="44">
        <v>23829</v>
      </c>
      <c r="M20" s="46">
        <v>0</v>
      </c>
      <c r="N20" s="45">
        <v>0</v>
      </c>
      <c r="O20" s="42">
        <v>1.93</v>
      </c>
      <c r="P20" s="42">
        <v>6.0540000000000003</v>
      </c>
      <c r="Q20" s="43">
        <f>K20/O20/43560</f>
        <v>0.20815788597229953</v>
      </c>
      <c r="R20" s="42">
        <v>0</v>
      </c>
      <c r="S20" s="54" t="s">
        <v>529</v>
      </c>
      <c r="T20" t="s">
        <v>539</v>
      </c>
      <c r="U20" t="s">
        <v>537</v>
      </c>
      <c r="V20" t="s">
        <v>507</v>
      </c>
      <c r="W20">
        <v>0</v>
      </c>
      <c r="X20">
        <v>0</v>
      </c>
      <c r="Y20" s="55">
        <v>40000</v>
      </c>
      <c r="AA20" s="56" t="s">
        <v>516</v>
      </c>
    </row>
    <row r="21" spans="1:63">
      <c r="A21" t="s">
        <v>563</v>
      </c>
      <c r="B21" t="s">
        <v>564</v>
      </c>
      <c r="C21" s="48">
        <v>42410</v>
      </c>
      <c r="D21" s="44">
        <v>400000</v>
      </c>
      <c r="E21" t="s">
        <v>33</v>
      </c>
      <c r="F21" t="s">
        <v>32</v>
      </c>
      <c r="G21" s="44">
        <v>400000</v>
      </c>
      <c r="H21" s="44">
        <v>241800</v>
      </c>
      <c r="I21" s="47">
        <v>60.45</v>
      </c>
      <c r="J21" s="44">
        <v>441386</v>
      </c>
      <c r="K21" s="44">
        <v>54361</v>
      </c>
      <c r="L21" s="44">
        <v>95747</v>
      </c>
      <c r="M21" s="46">
        <v>0</v>
      </c>
      <c r="N21" s="45">
        <v>0</v>
      </c>
      <c r="O21" s="42">
        <v>6.99</v>
      </c>
      <c r="P21" s="42">
        <v>7.35</v>
      </c>
      <c r="Q21" s="43">
        <f t="shared" ref="Q21:Q23" si="0">K21/O21/43560</f>
        <v>0.17853459816003711</v>
      </c>
      <c r="R21" s="44">
        <v>7776.9670958512161</v>
      </c>
      <c r="S21" s="43">
        <v>0.17853459816003711</v>
      </c>
      <c r="T21" s="42">
        <v>0</v>
      </c>
      <c r="U21" s="54" t="s">
        <v>562</v>
      </c>
      <c r="V21" t="s">
        <v>565</v>
      </c>
      <c r="X21" t="s">
        <v>507</v>
      </c>
      <c r="Y21">
        <v>0</v>
      </c>
      <c r="Z21">
        <v>0</v>
      </c>
      <c r="AA21" s="55">
        <v>39475</v>
      </c>
      <c r="AB21" s="56" t="s">
        <v>508</v>
      </c>
    </row>
    <row r="22" spans="1:63" s="165" customFormat="1">
      <c r="A22" s="165" t="s">
        <v>566</v>
      </c>
      <c r="B22" s="165" t="s">
        <v>567</v>
      </c>
      <c r="C22" s="166">
        <v>42697</v>
      </c>
      <c r="D22" s="167">
        <v>325000</v>
      </c>
      <c r="E22" s="165" t="s">
        <v>33</v>
      </c>
      <c r="F22" s="165" t="s">
        <v>32</v>
      </c>
      <c r="G22" s="167">
        <v>325000</v>
      </c>
      <c r="H22" s="167">
        <v>175600</v>
      </c>
      <c r="I22" s="168">
        <v>54.030769230769224</v>
      </c>
      <c r="J22" s="167">
        <v>346064</v>
      </c>
      <c r="K22" s="167">
        <v>70777</v>
      </c>
      <c r="L22" s="167">
        <v>91841</v>
      </c>
      <c r="M22" s="169">
        <v>0</v>
      </c>
      <c r="N22" s="170">
        <v>0</v>
      </c>
      <c r="O22" s="171">
        <v>8.26</v>
      </c>
      <c r="P22" s="171">
        <v>6.16</v>
      </c>
      <c r="Q22" s="43">
        <f t="shared" si="0"/>
        <v>0.19670900063812238</v>
      </c>
      <c r="R22" s="167">
        <v>11306.230031948882</v>
      </c>
      <c r="S22" s="172">
        <v>0.25955532672058956</v>
      </c>
      <c r="T22" s="171">
        <v>0</v>
      </c>
      <c r="U22" s="173" t="s">
        <v>562</v>
      </c>
      <c r="V22" s="165" t="s">
        <v>568</v>
      </c>
      <c r="X22" s="165" t="s">
        <v>507</v>
      </c>
      <c r="Y22" s="165">
        <v>0</v>
      </c>
      <c r="Z22" s="165">
        <v>0</v>
      </c>
      <c r="AA22" s="165" t="s">
        <v>34</v>
      </c>
      <c r="AB22" s="174" t="s">
        <v>508</v>
      </c>
    </row>
    <row r="23" spans="1:63">
      <c r="A23" t="s">
        <v>569</v>
      </c>
      <c r="B23" t="s">
        <v>561</v>
      </c>
      <c r="C23" s="48">
        <v>43398</v>
      </c>
      <c r="D23" s="44">
        <v>90000</v>
      </c>
      <c r="E23" t="s">
        <v>33</v>
      </c>
      <c r="F23" t="s">
        <v>32</v>
      </c>
      <c r="G23" s="44">
        <v>90000</v>
      </c>
      <c r="H23" s="44">
        <v>44100</v>
      </c>
      <c r="I23" s="47">
        <v>49</v>
      </c>
      <c r="J23" s="44">
        <v>88536</v>
      </c>
      <c r="K23" s="92">
        <v>72758</v>
      </c>
      <c r="L23" s="44">
        <v>71294</v>
      </c>
      <c r="M23" s="46">
        <v>0</v>
      </c>
      <c r="N23" s="45">
        <v>0</v>
      </c>
      <c r="O23" s="143">
        <v>3.98</v>
      </c>
      <c r="P23" s="42">
        <v>3.98</v>
      </c>
      <c r="Q23" s="43">
        <f t="shared" si="0"/>
        <v>0.41967182099662687</v>
      </c>
      <c r="R23" s="44">
        <v>18280.904522613066</v>
      </c>
      <c r="S23" s="43">
        <v>0.41967182099662687</v>
      </c>
      <c r="T23" s="42">
        <v>0</v>
      </c>
      <c r="U23" s="54" t="s">
        <v>562</v>
      </c>
      <c r="V23" t="s">
        <v>570</v>
      </c>
      <c r="X23" t="s">
        <v>507</v>
      </c>
      <c r="Y23">
        <v>0</v>
      </c>
      <c r="Z23">
        <v>0</v>
      </c>
      <c r="AA23" t="s">
        <v>34</v>
      </c>
      <c r="AB23" s="56" t="s">
        <v>508</v>
      </c>
    </row>
    <row r="24" spans="1:63" ht="15" thickBot="1">
      <c r="K24" s="44">
        <f>SUM(K18:K23)</f>
        <v>229366</v>
      </c>
      <c r="O24" s="42">
        <f>SUM(O18:O23)</f>
        <v>25.891000000000002</v>
      </c>
    </row>
    <row r="25" spans="1:63" ht="15" thickBot="1">
      <c r="G25" t="s">
        <v>558</v>
      </c>
      <c r="P25" s="175">
        <f>K24/O24/43560</f>
        <v>0.20337255511991556</v>
      </c>
    </row>
    <row r="26" spans="1:63">
      <c r="A26" s="201">
        <v>2023</v>
      </c>
      <c r="B26" s="201"/>
      <c r="E26" s="3">
        <v>1</v>
      </c>
      <c r="F26" s="151">
        <v>22400</v>
      </c>
      <c r="G26" s="150">
        <f>F26*0.35</f>
        <v>7839.9999999999991</v>
      </c>
      <c r="H26" t="s">
        <v>572</v>
      </c>
      <c r="I26" t="s">
        <v>2</v>
      </c>
    </row>
    <row r="27" spans="1:63">
      <c r="A27" t="s">
        <v>176</v>
      </c>
      <c r="B27" s="163">
        <v>670</v>
      </c>
      <c r="C27" t="s">
        <v>571</v>
      </c>
      <c r="E27" s="3">
        <v>1.5</v>
      </c>
      <c r="F27" s="151">
        <v>24000</v>
      </c>
      <c r="G27" s="150">
        <f t="shared" ref="G27:G41" si="1">F27*0.35</f>
        <v>8400</v>
      </c>
    </row>
    <row r="28" spans="1:63">
      <c r="A28" t="s">
        <v>552</v>
      </c>
      <c r="B28" s="163">
        <v>715</v>
      </c>
      <c r="C28" t="s">
        <v>571</v>
      </c>
      <c r="E28" s="3">
        <v>2</v>
      </c>
      <c r="F28" s="151">
        <v>25500</v>
      </c>
      <c r="G28" s="150">
        <f t="shared" si="1"/>
        <v>8925</v>
      </c>
    </row>
    <row r="29" spans="1:63">
      <c r="A29" t="s">
        <v>201</v>
      </c>
      <c r="B29" s="163">
        <v>690</v>
      </c>
      <c r="C29" t="s">
        <v>571</v>
      </c>
      <c r="E29" s="3">
        <v>2.5</v>
      </c>
      <c r="F29" s="151">
        <f>(F28+F30)/2</f>
        <v>27050</v>
      </c>
      <c r="G29" s="150">
        <f t="shared" si="1"/>
        <v>9467.5</v>
      </c>
    </row>
    <row r="30" spans="1:63">
      <c r="A30" t="s">
        <v>553</v>
      </c>
      <c r="B30" s="164">
        <v>0.81</v>
      </c>
      <c r="C30" t="s">
        <v>2</v>
      </c>
      <c r="E30" s="3">
        <v>3</v>
      </c>
      <c r="F30" s="151">
        <v>28600</v>
      </c>
      <c r="G30" s="150">
        <f t="shared" si="1"/>
        <v>10010</v>
      </c>
    </row>
    <row r="31" spans="1:63">
      <c r="A31" t="s">
        <v>554</v>
      </c>
      <c r="B31" s="164">
        <v>0.2</v>
      </c>
      <c r="C31" t="s">
        <v>2</v>
      </c>
      <c r="D31" s="127"/>
      <c r="E31" s="3">
        <v>4</v>
      </c>
      <c r="F31" s="151">
        <v>30100</v>
      </c>
      <c r="G31" s="150">
        <f t="shared" si="1"/>
        <v>10535</v>
      </c>
    </row>
    <row r="32" spans="1:63">
      <c r="E32" s="3">
        <v>5</v>
      </c>
      <c r="F32" s="151">
        <v>34000</v>
      </c>
      <c r="G32" s="150">
        <f t="shared" si="1"/>
        <v>11900</v>
      </c>
    </row>
    <row r="33" spans="5:7">
      <c r="E33" s="3">
        <v>7</v>
      </c>
      <c r="F33" s="151">
        <v>42000</v>
      </c>
      <c r="G33" s="150">
        <f t="shared" si="1"/>
        <v>14699.999999999998</v>
      </c>
    </row>
    <row r="34" spans="5:7">
      <c r="E34" s="3">
        <v>10</v>
      </c>
      <c r="F34" s="151">
        <v>53000</v>
      </c>
      <c r="G34" s="150">
        <f t="shared" si="1"/>
        <v>18550</v>
      </c>
    </row>
    <row r="35" spans="5:7">
      <c r="E35" s="3">
        <v>15</v>
      </c>
      <c r="F35" s="151">
        <v>65000</v>
      </c>
      <c r="G35" s="150">
        <f t="shared" si="1"/>
        <v>22750</v>
      </c>
    </row>
    <row r="36" spans="5:7">
      <c r="E36" s="3">
        <v>20</v>
      </c>
      <c r="F36" s="151">
        <v>73000</v>
      </c>
      <c r="G36" s="150">
        <f t="shared" si="1"/>
        <v>25550</v>
      </c>
    </row>
    <row r="37" spans="5:7">
      <c r="E37" s="3">
        <v>25</v>
      </c>
      <c r="F37" s="151">
        <v>90000</v>
      </c>
      <c r="G37" s="150">
        <f t="shared" si="1"/>
        <v>31499.999999999996</v>
      </c>
    </row>
    <row r="38" spans="5:7">
      <c r="E38" s="3">
        <v>30</v>
      </c>
      <c r="F38" s="151">
        <v>105000</v>
      </c>
      <c r="G38" s="150">
        <f t="shared" si="1"/>
        <v>36750</v>
      </c>
    </row>
    <row r="39" spans="5:7">
      <c r="E39" s="3">
        <v>40</v>
      </c>
      <c r="F39" s="151">
        <v>135000</v>
      </c>
      <c r="G39" s="150">
        <f t="shared" si="1"/>
        <v>47250</v>
      </c>
    </row>
    <row r="40" spans="5:7">
      <c r="E40" s="3">
        <v>50</v>
      </c>
      <c r="F40" s="151">
        <v>165000</v>
      </c>
      <c r="G40" s="150">
        <f t="shared" si="1"/>
        <v>57749.999999999993</v>
      </c>
    </row>
    <row r="41" spans="5:7">
      <c r="E41" s="3">
        <v>100</v>
      </c>
      <c r="F41" s="151">
        <v>300000</v>
      </c>
      <c r="G41" s="150">
        <f t="shared" si="1"/>
        <v>105000</v>
      </c>
    </row>
  </sheetData>
  <mergeCells count="4">
    <mergeCell ref="AA7:AB7"/>
    <mergeCell ref="AC12:AD12"/>
    <mergeCell ref="A26:B26"/>
    <mergeCell ref="AA18:AB18"/>
  </mergeCells>
  <conditionalFormatting sqref="A19:AD23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M44"/>
  <sheetViews>
    <sheetView topLeftCell="A67" workbookViewId="0">
      <selection activeCell="G29" sqref="G29"/>
    </sheetView>
  </sheetViews>
  <sheetFormatPr defaultRowHeight="14.4"/>
  <cols>
    <col min="1" max="1" width="14.33203125" bestFit="1" customWidth="1"/>
    <col min="2" max="2" width="24.44140625" bestFit="1" customWidth="1"/>
    <col min="3" max="3" width="10.6640625" bestFit="1" customWidth="1"/>
    <col min="4" max="4" width="10.88671875" bestFit="1" customWidth="1"/>
    <col min="5" max="5" width="5.5546875" bestFit="1" customWidth="1"/>
    <col min="6" max="6" width="16.6640625" bestFit="1" customWidth="1"/>
    <col min="7" max="7" width="10.88671875" bestFit="1" customWidth="1"/>
    <col min="8" max="8" width="14.6640625" bestFit="1" customWidth="1"/>
    <col min="9" max="9" width="12.88671875" bestFit="1" customWidth="1"/>
    <col min="10" max="10" width="13.44140625" bestFit="1" customWidth="1"/>
    <col min="11" max="11" width="13.33203125" bestFit="1" customWidth="1"/>
    <col min="12" max="12" width="14.44140625" bestFit="1" customWidth="1"/>
    <col min="13" max="13" width="11.109375" bestFit="1" customWidth="1"/>
    <col min="14" max="14" width="6.44140625" bestFit="1" customWidth="1"/>
    <col min="15" max="15" width="14.33203125" bestFit="1" customWidth="1"/>
    <col min="16" max="16" width="10.6640625" bestFit="1" customWidth="1"/>
    <col min="17" max="17" width="10" bestFit="1" customWidth="1"/>
    <col min="18" max="18" width="12" bestFit="1" customWidth="1"/>
    <col min="19" max="19" width="11.88671875" bestFit="1" customWidth="1"/>
    <col min="20" max="20" width="11.6640625" bestFit="1" customWidth="1"/>
    <col min="21" max="21" width="8.6640625" bestFit="1" customWidth="1"/>
    <col min="22" max="22" width="10.5546875" bestFit="1" customWidth="1"/>
    <col min="23" max="23" width="19.44140625" bestFit="1" customWidth="1"/>
    <col min="24" max="24" width="29.10937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9.44140625" bestFit="1" customWidth="1"/>
    <col min="29" max="29" width="5.44140625" bestFit="1" customWidth="1"/>
  </cols>
  <sheetData>
    <row r="1" spans="1:65">
      <c r="A1" s="178" t="s">
        <v>63</v>
      </c>
      <c r="B1" s="178" t="s">
        <v>62</v>
      </c>
      <c r="C1" s="178" t="s">
        <v>61</v>
      </c>
      <c r="D1" s="178" t="s">
        <v>60</v>
      </c>
      <c r="E1" s="178" t="s">
        <v>59</v>
      </c>
      <c r="F1" s="178" t="s">
        <v>58</v>
      </c>
      <c r="G1" s="178" t="s">
        <v>57</v>
      </c>
      <c r="H1" s="178" t="s">
        <v>580</v>
      </c>
      <c r="I1" s="178" t="s">
        <v>55</v>
      </c>
      <c r="J1" s="178" t="s">
        <v>54</v>
      </c>
      <c r="K1" s="178" t="s">
        <v>53</v>
      </c>
      <c r="L1" s="178" t="s">
        <v>52</v>
      </c>
      <c r="M1" s="178" t="s">
        <v>51</v>
      </c>
      <c r="N1" s="178" t="s">
        <v>50</v>
      </c>
      <c r="O1" s="178" t="s">
        <v>49</v>
      </c>
      <c r="P1" s="178" t="s">
        <v>48</v>
      </c>
      <c r="Q1" s="178" t="s">
        <v>47</v>
      </c>
      <c r="R1" s="178" t="s">
        <v>46</v>
      </c>
      <c r="S1" s="178" t="s">
        <v>45</v>
      </c>
      <c r="T1" s="178" t="s">
        <v>44</v>
      </c>
      <c r="U1" s="179" t="s">
        <v>43</v>
      </c>
      <c r="V1" s="178" t="s">
        <v>42</v>
      </c>
      <c r="W1" s="178" t="s">
        <v>41</v>
      </c>
      <c r="X1" s="178" t="s">
        <v>40</v>
      </c>
      <c r="Y1" s="178" t="s">
        <v>39</v>
      </c>
      <c r="Z1" s="178" t="s">
        <v>38</v>
      </c>
      <c r="AA1" s="178" t="s">
        <v>37</v>
      </c>
      <c r="AB1" s="178" t="s">
        <v>36</v>
      </c>
      <c r="AC1" s="178" t="s">
        <v>35</v>
      </c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61"/>
    </row>
    <row r="2" spans="1:65">
      <c r="A2" s="181" t="s">
        <v>581</v>
      </c>
      <c r="B2" s="181" t="s">
        <v>582</v>
      </c>
      <c r="C2" s="182">
        <v>44148</v>
      </c>
      <c r="D2" s="183">
        <v>95000</v>
      </c>
      <c r="E2" s="181" t="s">
        <v>33</v>
      </c>
      <c r="F2" s="181" t="s">
        <v>32</v>
      </c>
      <c r="G2" s="183">
        <v>95000</v>
      </c>
      <c r="H2" s="183">
        <v>43600</v>
      </c>
      <c r="I2" s="181">
        <v>45.89</v>
      </c>
      <c r="J2" s="183">
        <v>113300</v>
      </c>
      <c r="K2" s="183">
        <v>95000</v>
      </c>
      <c r="L2" s="183">
        <v>113300</v>
      </c>
      <c r="M2" s="181">
        <v>300</v>
      </c>
      <c r="N2" s="181">
        <v>405</v>
      </c>
      <c r="O2" s="181">
        <v>2.89</v>
      </c>
      <c r="P2" s="181">
        <v>2.89</v>
      </c>
      <c r="Q2" s="183">
        <v>317</v>
      </c>
      <c r="R2" s="183">
        <v>32872</v>
      </c>
      <c r="S2" s="184">
        <v>0.75</v>
      </c>
      <c r="T2" s="181">
        <v>300</v>
      </c>
      <c r="U2" s="185" t="s">
        <v>583</v>
      </c>
      <c r="V2" s="181" t="s">
        <v>584</v>
      </c>
      <c r="W2" s="181"/>
      <c r="X2" s="181" t="s">
        <v>585</v>
      </c>
      <c r="Y2" s="181">
        <v>0</v>
      </c>
      <c r="Z2" s="181">
        <v>1</v>
      </c>
      <c r="AA2" s="182">
        <v>44351</v>
      </c>
      <c r="AB2" s="181" t="s">
        <v>586</v>
      </c>
      <c r="AC2" s="202">
        <v>302</v>
      </c>
      <c r="AD2" s="202"/>
      <c r="AE2" s="161"/>
      <c r="AF2" s="161"/>
      <c r="AG2" s="161"/>
      <c r="AH2" s="161"/>
      <c r="AI2" s="161"/>
      <c r="AJ2" s="161"/>
      <c r="AK2" s="161"/>
      <c r="AL2" s="180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80"/>
      <c r="BD2" s="161"/>
      <c r="BE2" s="180"/>
      <c r="BF2" s="161"/>
      <c r="BG2" s="161"/>
      <c r="BH2" s="161"/>
      <c r="BI2" s="161"/>
      <c r="BJ2" s="161"/>
      <c r="BK2" s="161"/>
      <c r="BL2" s="161"/>
      <c r="BM2" s="161"/>
    </row>
    <row r="3" spans="1:65">
      <c r="A3" s="181" t="s">
        <v>587</v>
      </c>
      <c r="B3" s="181" t="s">
        <v>588</v>
      </c>
      <c r="C3" s="182">
        <v>44225</v>
      </c>
      <c r="D3" s="183">
        <v>130000</v>
      </c>
      <c r="E3" s="181" t="s">
        <v>33</v>
      </c>
      <c r="F3" s="181" t="s">
        <v>32</v>
      </c>
      <c r="G3" s="183">
        <v>130000</v>
      </c>
      <c r="H3" s="183">
        <v>63700</v>
      </c>
      <c r="I3" s="181">
        <v>49</v>
      </c>
      <c r="J3" s="183">
        <v>150543</v>
      </c>
      <c r="K3" s="183">
        <v>130000</v>
      </c>
      <c r="L3" s="183">
        <v>150543</v>
      </c>
      <c r="M3" s="181">
        <v>174</v>
      </c>
      <c r="N3" s="181">
        <v>0</v>
      </c>
      <c r="O3" s="181">
        <v>3.84</v>
      </c>
      <c r="P3" s="181">
        <v>3.84</v>
      </c>
      <c r="Q3" s="183">
        <v>747</v>
      </c>
      <c r="R3" s="183">
        <v>33854</v>
      </c>
      <c r="S3" s="184">
        <v>0.78</v>
      </c>
      <c r="T3" s="181">
        <v>174</v>
      </c>
      <c r="U3" s="185" t="s">
        <v>583</v>
      </c>
      <c r="V3" s="181" t="s">
        <v>589</v>
      </c>
      <c r="W3" s="181"/>
      <c r="X3" s="181" t="s">
        <v>585</v>
      </c>
      <c r="Y3" s="181">
        <v>0</v>
      </c>
      <c r="Z3" s="181">
        <v>1</v>
      </c>
      <c r="AA3" s="182">
        <v>44343</v>
      </c>
      <c r="AB3" s="181" t="s">
        <v>586</v>
      </c>
      <c r="AC3" s="202">
        <v>302</v>
      </c>
      <c r="AD3" s="202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>
      <c r="A4" s="156" t="s">
        <v>590</v>
      </c>
      <c r="B4" s="156" t="s">
        <v>591</v>
      </c>
      <c r="C4" s="157">
        <v>44040</v>
      </c>
      <c r="D4" s="158">
        <v>240000</v>
      </c>
      <c r="E4" s="156" t="s">
        <v>33</v>
      </c>
      <c r="F4" s="156" t="s">
        <v>32</v>
      </c>
      <c r="G4" s="158">
        <v>240000</v>
      </c>
      <c r="H4" s="158">
        <v>126800</v>
      </c>
      <c r="I4" s="156">
        <v>52.83</v>
      </c>
      <c r="J4" s="158">
        <v>225306</v>
      </c>
      <c r="K4" s="158">
        <v>240000</v>
      </c>
      <c r="L4" s="158">
        <v>274203</v>
      </c>
      <c r="M4" s="156">
        <v>0</v>
      </c>
      <c r="N4" s="156">
        <v>0</v>
      </c>
      <c r="O4" s="156">
        <v>38.36</v>
      </c>
      <c r="P4" s="156">
        <v>38.35</v>
      </c>
      <c r="Q4" s="156" t="e">
        <v>#DIV/0!</v>
      </c>
      <c r="R4" s="158">
        <v>6257</v>
      </c>
      <c r="S4" s="159">
        <v>0.14000000000000001</v>
      </c>
      <c r="T4" s="156">
        <v>0</v>
      </c>
      <c r="U4" s="160" t="s">
        <v>592</v>
      </c>
      <c r="V4" s="156" t="s">
        <v>593</v>
      </c>
      <c r="W4" s="156"/>
      <c r="X4" s="156" t="s">
        <v>594</v>
      </c>
      <c r="Y4" s="156">
        <v>0</v>
      </c>
      <c r="Z4" s="156">
        <v>1</v>
      </c>
      <c r="AA4" s="157">
        <v>44271</v>
      </c>
      <c r="AB4" s="156" t="s">
        <v>586</v>
      </c>
      <c r="AC4" s="200">
        <v>302</v>
      </c>
      <c r="AD4" s="200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</row>
    <row r="5" spans="1:65">
      <c r="A5" s="156" t="s">
        <v>595</v>
      </c>
      <c r="B5" s="156" t="s">
        <v>596</v>
      </c>
      <c r="C5" s="157">
        <v>44200</v>
      </c>
      <c r="D5" s="158">
        <v>160000</v>
      </c>
      <c r="E5" s="156" t="s">
        <v>33</v>
      </c>
      <c r="F5" s="156" t="s">
        <v>32</v>
      </c>
      <c r="G5" s="158">
        <v>160000</v>
      </c>
      <c r="H5" s="158">
        <v>32900</v>
      </c>
      <c r="I5" s="156">
        <v>20.56</v>
      </c>
      <c r="J5" s="158">
        <v>185893</v>
      </c>
      <c r="K5" s="158">
        <v>160000</v>
      </c>
      <c r="L5" s="158">
        <v>185893</v>
      </c>
      <c r="M5" s="156">
        <v>350</v>
      </c>
      <c r="N5" s="156">
        <v>643.79999999999995</v>
      </c>
      <c r="O5" s="156">
        <v>4.91</v>
      </c>
      <c r="P5" s="156">
        <v>4.91</v>
      </c>
      <c r="Q5" s="158">
        <v>457</v>
      </c>
      <c r="R5" s="158">
        <v>32600</v>
      </c>
      <c r="S5" s="159">
        <v>0.75</v>
      </c>
      <c r="T5" s="156">
        <v>350</v>
      </c>
      <c r="U5" s="160" t="s">
        <v>597</v>
      </c>
      <c r="V5" s="156" t="s">
        <v>598</v>
      </c>
      <c r="W5" s="156"/>
      <c r="X5" s="156" t="s">
        <v>599</v>
      </c>
      <c r="Y5" s="156">
        <v>1</v>
      </c>
      <c r="Z5" s="156">
        <v>0</v>
      </c>
      <c r="AA5" s="157">
        <v>44349</v>
      </c>
      <c r="AB5" s="156" t="s">
        <v>586</v>
      </c>
      <c r="AC5" s="200">
        <v>1</v>
      </c>
      <c r="AD5" s="200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</row>
    <row r="6" spans="1:65">
      <c r="A6" s="181" t="s">
        <v>600</v>
      </c>
      <c r="B6" s="181" t="s">
        <v>601</v>
      </c>
      <c r="C6" s="182">
        <v>44274</v>
      </c>
      <c r="D6" s="183">
        <v>160000</v>
      </c>
      <c r="E6" s="181" t="s">
        <v>33</v>
      </c>
      <c r="F6" s="181" t="s">
        <v>32</v>
      </c>
      <c r="G6" s="183">
        <v>160000</v>
      </c>
      <c r="H6" s="183">
        <v>97400</v>
      </c>
      <c r="I6" s="181">
        <v>60.88</v>
      </c>
      <c r="J6" s="183">
        <v>246660</v>
      </c>
      <c r="K6" s="183">
        <v>160000</v>
      </c>
      <c r="L6" s="183">
        <v>246660</v>
      </c>
      <c r="M6" s="181">
        <v>612.1</v>
      </c>
      <c r="N6" s="181">
        <v>493</v>
      </c>
      <c r="O6" s="181">
        <v>6.29</v>
      </c>
      <c r="P6" s="181">
        <v>6.29</v>
      </c>
      <c r="Q6" s="183">
        <v>261</v>
      </c>
      <c r="R6" s="183">
        <v>25429</v>
      </c>
      <c r="S6" s="184">
        <v>0.57999999999999996</v>
      </c>
      <c r="T6" s="181">
        <v>612.07000000000005</v>
      </c>
      <c r="U6" s="185" t="s">
        <v>597</v>
      </c>
      <c r="V6" s="181" t="s">
        <v>602</v>
      </c>
      <c r="W6" s="181"/>
      <c r="X6" s="181" t="s">
        <v>599</v>
      </c>
      <c r="Y6" s="181">
        <v>0</v>
      </c>
      <c r="Z6" s="181">
        <v>1</v>
      </c>
      <c r="AA6" s="182">
        <v>44351</v>
      </c>
      <c r="AB6" s="181" t="s">
        <v>586</v>
      </c>
      <c r="AC6" s="202">
        <v>302</v>
      </c>
      <c r="AD6" s="202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</row>
    <row r="7" spans="1:65">
      <c r="A7" s="181" t="s">
        <v>603</v>
      </c>
      <c r="B7" s="181" t="s">
        <v>601</v>
      </c>
      <c r="C7" s="182">
        <v>44195</v>
      </c>
      <c r="D7" s="183">
        <v>189000</v>
      </c>
      <c r="E7" s="181" t="s">
        <v>33</v>
      </c>
      <c r="F7" s="181" t="s">
        <v>32</v>
      </c>
      <c r="G7" s="183">
        <v>189000</v>
      </c>
      <c r="H7" s="183">
        <v>97500</v>
      </c>
      <c r="I7" s="181">
        <v>51.59</v>
      </c>
      <c r="J7" s="183">
        <v>232480</v>
      </c>
      <c r="K7" s="183">
        <v>189000</v>
      </c>
      <c r="L7" s="183">
        <v>232480</v>
      </c>
      <c r="M7" s="181">
        <v>86</v>
      </c>
      <c r="N7" s="181">
        <v>660</v>
      </c>
      <c r="O7" s="181">
        <v>5.93</v>
      </c>
      <c r="P7" s="181">
        <v>5.93</v>
      </c>
      <c r="Q7" s="183">
        <v>2198</v>
      </c>
      <c r="R7" s="183">
        <v>31872</v>
      </c>
      <c r="S7" s="184">
        <v>0.73</v>
      </c>
      <c r="T7" s="181">
        <v>86</v>
      </c>
      <c r="U7" s="185" t="s">
        <v>597</v>
      </c>
      <c r="V7" s="181" t="s">
        <v>604</v>
      </c>
      <c r="W7" s="181"/>
      <c r="X7" s="181" t="s">
        <v>599</v>
      </c>
      <c r="Y7" s="181">
        <v>0</v>
      </c>
      <c r="Z7" s="181">
        <v>1</v>
      </c>
      <c r="AA7" s="182">
        <v>44372</v>
      </c>
      <c r="AB7" s="181" t="s">
        <v>586</v>
      </c>
      <c r="AC7" s="202">
        <v>302</v>
      </c>
      <c r="AD7" s="202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</row>
    <row r="8" spans="1:65" ht="15" thickBot="1">
      <c r="A8" s="156" t="s">
        <v>605</v>
      </c>
      <c r="B8" s="156" t="s">
        <v>606</v>
      </c>
      <c r="C8" s="157">
        <v>44188</v>
      </c>
      <c r="D8" s="158">
        <v>65000</v>
      </c>
      <c r="E8" s="156" t="s">
        <v>33</v>
      </c>
      <c r="F8" s="156" t="s">
        <v>32</v>
      </c>
      <c r="G8" s="158">
        <v>65000</v>
      </c>
      <c r="H8" s="158">
        <v>27700</v>
      </c>
      <c r="I8" s="156">
        <v>42.62</v>
      </c>
      <c r="J8" s="158">
        <v>76698</v>
      </c>
      <c r="K8" s="158">
        <v>65000</v>
      </c>
      <c r="L8" s="158">
        <v>76698</v>
      </c>
      <c r="M8" s="156">
        <v>200</v>
      </c>
      <c r="N8" s="156">
        <v>426.6</v>
      </c>
      <c r="O8" s="156">
        <v>1.96</v>
      </c>
      <c r="P8" s="156">
        <v>1.96</v>
      </c>
      <c r="Q8" s="158">
        <v>325</v>
      </c>
      <c r="R8" s="158">
        <v>33231</v>
      </c>
      <c r="S8" s="159">
        <v>0.76</v>
      </c>
      <c r="T8" s="156">
        <v>200</v>
      </c>
      <c r="U8" s="160" t="s">
        <v>597</v>
      </c>
      <c r="V8" s="156" t="s">
        <v>607</v>
      </c>
      <c r="W8" s="156"/>
      <c r="X8" s="156" t="s">
        <v>599</v>
      </c>
      <c r="Y8" s="156">
        <v>0</v>
      </c>
      <c r="Z8" s="156">
        <v>1</v>
      </c>
      <c r="AA8" s="157">
        <v>44259</v>
      </c>
      <c r="AB8" s="156" t="s">
        <v>586</v>
      </c>
      <c r="AC8" s="204">
        <v>302</v>
      </c>
      <c r="AD8" s="204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</row>
    <row r="9" spans="1:65" ht="15" thickTop="1">
      <c r="A9" s="186"/>
      <c r="B9" s="186"/>
      <c r="C9" s="186" t="s">
        <v>29</v>
      </c>
      <c r="D9" s="187">
        <v>1039000</v>
      </c>
      <c r="E9" s="205"/>
      <c r="F9" s="205"/>
      <c r="G9" s="187">
        <v>1039000</v>
      </c>
      <c r="H9" s="187">
        <v>489600</v>
      </c>
      <c r="I9" s="186"/>
      <c r="J9" s="187">
        <v>1230880</v>
      </c>
      <c r="K9" s="187">
        <v>1039000</v>
      </c>
      <c r="L9" s="187">
        <v>1279777</v>
      </c>
      <c r="M9" s="189">
        <v>1722.1</v>
      </c>
      <c r="N9" s="186"/>
      <c r="O9" s="186">
        <v>64.180000000000007</v>
      </c>
      <c r="P9" s="186">
        <v>64.17</v>
      </c>
      <c r="Q9" s="186"/>
      <c r="R9" s="186"/>
      <c r="S9" s="186"/>
      <c r="T9" s="186"/>
      <c r="U9" s="190"/>
      <c r="V9" s="186"/>
      <c r="W9" s="186"/>
      <c r="X9" s="186"/>
      <c r="Y9" s="186"/>
      <c r="Z9" s="205"/>
      <c r="AA9" s="205"/>
      <c r="AB9" s="186"/>
      <c r="AC9" s="205"/>
      <c r="AD9" s="205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</row>
    <row r="10" spans="1:65">
      <c r="A10" s="188"/>
      <c r="B10" s="188"/>
      <c r="C10" s="188"/>
      <c r="D10" s="188"/>
      <c r="E10" s="206"/>
      <c r="F10" s="206"/>
      <c r="G10" s="188"/>
      <c r="H10" s="188" t="s">
        <v>28</v>
      </c>
      <c r="I10" s="188">
        <v>47.12</v>
      </c>
      <c r="J10" s="188"/>
      <c r="K10" s="188"/>
      <c r="L10" s="188" t="s">
        <v>27</v>
      </c>
      <c r="M10" s="188"/>
      <c r="N10" s="188"/>
      <c r="O10" s="188" t="s">
        <v>27</v>
      </c>
      <c r="P10" s="188"/>
      <c r="Q10" s="188"/>
      <c r="R10" s="188" t="s">
        <v>27</v>
      </c>
      <c r="S10" s="188"/>
      <c r="T10" s="188"/>
      <c r="U10" s="191"/>
      <c r="V10" s="188"/>
      <c r="W10" s="188"/>
      <c r="X10" s="188"/>
      <c r="Y10" s="188"/>
      <c r="Z10" s="206"/>
      <c r="AA10" s="206"/>
      <c r="AB10" s="188"/>
      <c r="AC10" s="206"/>
      <c r="AD10" s="206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</row>
    <row r="11" spans="1:65">
      <c r="A11" s="192"/>
      <c r="B11" s="192"/>
      <c r="C11" s="192"/>
      <c r="D11" s="192"/>
      <c r="E11" s="203"/>
      <c r="F11" s="203"/>
      <c r="G11" s="192"/>
      <c r="H11" s="192" t="s">
        <v>26</v>
      </c>
      <c r="I11" s="192">
        <v>12.69</v>
      </c>
      <c r="J11" s="192"/>
      <c r="K11" s="192"/>
      <c r="L11" s="192" t="s">
        <v>25</v>
      </c>
      <c r="M11" s="193">
        <v>603</v>
      </c>
      <c r="N11" s="192"/>
      <c r="O11" s="192" t="s">
        <v>24</v>
      </c>
      <c r="P11" s="194">
        <v>16189.85</v>
      </c>
      <c r="Q11" s="192"/>
      <c r="R11" s="192" t="s">
        <v>23</v>
      </c>
      <c r="S11" s="195">
        <v>0.37</v>
      </c>
      <c r="T11" s="192"/>
      <c r="U11" s="196"/>
      <c r="V11" s="192"/>
      <c r="W11" s="192"/>
      <c r="X11" s="192"/>
      <c r="Y11" s="192"/>
      <c r="Z11" s="203"/>
      <c r="AA11" s="203"/>
      <c r="AB11" s="192"/>
      <c r="AC11" s="203"/>
      <c r="AD11" s="203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</row>
    <row r="13" spans="1:65">
      <c r="A13" t="s">
        <v>573</v>
      </c>
      <c r="B13" s="44">
        <v>16000</v>
      </c>
      <c r="C13" t="s">
        <v>2</v>
      </c>
      <c r="D13" t="s">
        <v>2</v>
      </c>
    </row>
    <row r="14" spans="1:65">
      <c r="A14" t="s">
        <v>39</v>
      </c>
      <c r="B14" s="44">
        <v>14000</v>
      </c>
      <c r="C14" t="s">
        <v>2</v>
      </c>
    </row>
    <row r="15" spans="1:65">
      <c r="A15" t="s">
        <v>574</v>
      </c>
      <c r="B15" s="44">
        <v>500</v>
      </c>
      <c r="C15" t="s">
        <v>2</v>
      </c>
    </row>
    <row r="16" spans="1:65">
      <c r="A16" t="s">
        <v>3</v>
      </c>
      <c r="B16" s="44">
        <v>4500</v>
      </c>
      <c r="C16" t="s">
        <v>608</v>
      </c>
    </row>
    <row r="17" spans="1:11">
      <c r="A17" t="s">
        <v>575</v>
      </c>
      <c r="B17" s="44">
        <v>3200</v>
      </c>
      <c r="C17" t="s">
        <v>608</v>
      </c>
    </row>
    <row r="19" spans="1:11">
      <c r="B19" t="s">
        <v>2</v>
      </c>
    </row>
    <row r="20" spans="1:11">
      <c r="B20" t="s">
        <v>2</v>
      </c>
      <c r="C20" t="s">
        <v>2</v>
      </c>
    </row>
    <row r="21" spans="1:11">
      <c r="A21" s="198" t="s">
        <v>39</v>
      </c>
    </row>
    <row r="22" spans="1:11">
      <c r="B22" t="s">
        <v>609</v>
      </c>
      <c r="C22" s="55">
        <v>44321</v>
      </c>
      <c r="D22" t="s">
        <v>610</v>
      </c>
      <c r="E22">
        <v>76.56</v>
      </c>
      <c r="F22" s="44">
        <v>1000000</v>
      </c>
      <c r="G22" s="44">
        <v>0</v>
      </c>
      <c r="H22" s="197">
        <v>20532.046429472619</v>
      </c>
      <c r="I22" s="93">
        <v>6</v>
      </c>
      <c r="J22">
        <v>39.630000000000003</v>
      </c>
      <c r="K22">
        <v>30.93</v>
      </c>
    </row>
    <row r="23" spans="1:11">
      <c r="B23" t="s">
        <v>611</v>
      </c>
      <c r="C23" s="55">
        <v>44369</v>
      </c>
      <c r="D23" t="s">
        <v>612</v>
      </c>
      <c r="E23">
        <v>77.2</v>
      </c>
      <c r="F23" s="44">
        <v>565000</v>
      </c>
      <c r="G23" s="44">
        <v>81686</v>
      </c>
      <c r="H23" s="197">
        <v>9345.0019004180922</v>
      </c>
      <c r="I23">
        <v>15.16</v>
      </c>
      <c r="J23">
        <v>26.31</v>
      </c>
      <c r="K23">
        <v>35.730000000000004</v>
      </c>
    </row>
    <row r="24" spans="1:11">
      <c r="B24" t="s">
        <v>613</v>
      </c>
      <c r="C24" s="55">
        <v>43628</v>
      </c>
      <c r="D24" t="s">
        <v>614</v>
      </c>
      <c r="E24">
        <v>73</v>
      </c>
      <c r="F24" s="44">
        <v>348000</v>
      </c>
      <c r="G24">
        <v>0</v>
      </c>
      <c r="H24" s="197">
        <v>16080</v>
      </c>
      <c r="I24">
        <v>38</v>
      </c>
      <c r="J24">
        <v>5</v>
      </c>
      <c r="K24">
        <v>30</v>
      </c>
    </row>
    <row r="25" spans="1:11">
      <c r="H25" s="43" t="s">
        <v>2</v>
      </c>
    </row>
    <row r="44" spans="4:4">
      <c r="D44" t="s">
        <v>2</v>
      </c>
    </row>
  </sheetData>
  <mergeCells count="16">
    <mergeCell ref="E11:F11"/>
    <mergeCell ref="Z11:AA11"/>
    <mergeCell ref="AC11:AD11"/>
    <mergeCell ref="AC8:AD8"/>
    <mergeCell ref="E9:F9"/>
    <mergeCell ref="Z9:AA9"/>
    <mergeCell ref="AC9:AD9"/>
    <mergeCell ref="E10:F10"/>
    <mergeCell ref="Z10:AA10"/>
    <mergeCell ref="AC10:AD10"/>
    <mergeCell ref="AC7:AD7"/>
    <mergeCell ref="AC2:AD2"/>
    <mergeCell ref="AC3:AD3"/>
    <mergeCell ref="AC4:AD4"/>
    <mergeCell ref="AC5:AD5"/>
    <mergeCell ref="AC6:A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selection activeCell="C31" sqref="C31"/>
    </sheetView>
  </sheetViews>
  <sheetFormatPr defaultRowHeight="14.4"/>
  <cols>
    <col min="1" max="1" width="16.5546875" bestFit="1" customWidth="1"/>
    <col min="2" max="2" width="19.44140625" bestFit="1" customWidth="1"/>
    <col min="3" max="3" width="15.88671875" bestFit="1" customWidth="1"/>
    <col min="4" max="4" width="92.6640625" bestFit="1" customWidth="1"/>
    <col min="5" max="5" width="9.5546875" bestFit="1" customWidth="1"/>
    <col min="6" max="6" width="5.5546875" bestFit="1" customWidth="1"/>
    <col min="7" max="7" width="16.6640625" bestFit="1" customWidth="1"/>
    <col min="8" max="8" width="10.109375" bestFit="1" customWidth="1"/>
    <col min="9" max="9" width="11.33203125" bestFit="1" customWidth="1"/>
    <col min="10" max="10" width="12.88671875" bestFit="1" customWidth="1"/>
    <col min="11" max="11" width="13.44140625" bestFit="1" customWidth="1"/>
    <col min="12" max="12" width="13.33203125" bestFit="1" customWidth="1"/>
    <col min="13" max="13" width="14.44140625" bestFit="1" customWidth="1"/>
    <col min="14" max="14" width="21.6640625" bestFit="1" customWidth="1"/>
    <col min="15" max="15" width="10" bestFit="1" customWidth="1"/>
    <col min="16" max="16" width="8.6640625" bestFit="1" customWidth="1"/>
    <col min="17" max="17" width="10.5546875" bestFit="1" customWidth="1"/>
    <col min="18" max="18" width="26.88671875" bestFit="1" customWidth="1"/>
    <col min="19" max="19" width="27.109375" bestFit="1" customWidth="1"/>
    <col min="20" max="20" width="6.88671875" bestFit="1" customWidth="1"/>
    <col min="21" max="21" width="6.44140625" bestFit="1" customWidth="1"/>
    <col min="22" max="22" width="14.44140625" bestFit="1" customWidth="1"/>
    <col min="23" max="23" width="9.44140625" bestFit="1" customWidth="1"/>
    <col min="24" max="24" width="5.44140625" bestFit="1" customWidth="1"/>
    <col min="25" max="27" width="12.44140625" bestFit="1" customWidth="1"/>
  </cols>
  <sheetData>
    <row r="1" spans="1:59">
      <c r="A1" s="52" t="s">
        <v>63</v>
      </c>
      <c r="B1" s="52" t="s">
        <v>62</v>
      </c>
      <c r="C1" s="52"/>
      <c r="D1" s="71" t="s">
        <v>61</v>
      </c>
      <c r="E1" s="63" t="s">
        <v>60</v>
      </c>
      <c r="F1" s="52" t="s">
        <v>59</v>
      </c>
      <c r="G1" s="52" t="s">
        <v>58</v>
      </c>
      <c r="H1" s="63" t="s">
        <v>57</v>
      </c>
      <c r="I1" s="63" t="s">
        <v>56</v>
      </c>
      <c r="J1" s="67" t="s">
        <v>55</v>
      </c>
      <c r="K1" s="63" t="s">
        <v>54</v>
      </c>
      <c r="L1" s="63" t="s">
        <v>53</v>
      </c>
      <c r="M1" s="63" t="s">
        <v>52</v>
      </c>
      <c r="N1" s="63" t="s">
        <v>51</v>
      </c>
      <c r="O1" s="63" t="s">
        <v>47</v>
      </c>
      <c r="P1" s="53" t="s">
        <v>43</v>
      </c>
      <c r="Q1" s="52" t="s">
        <v>42</v>
      </c>
      <c r="R1" s="52" t="s">
        <v>41</v>
      </c>
      <c r="S1" s="52" t="s">
        <v>40</v>
      </c>
      <c r="T1" s="52" t="s">
        <v>39</v>
      </c>
      <c r="U1" s="52" t="s">
        <v>38</v>
      </c>
      <c r="V1" s="52" t="s">
        <v>37</v>
      </c>
      <c r="W1" s="52" t="s">
        <v>36</v>
      </c>
      <c r="X1" s="52" t="s">
        <v>35</v>
      </c>
      <c r="Y1" s="52" t="s">
        <v>89</v>
      </c>
      <c r="Z1" s="52" t="s">
        <v>90</v>
      </c>
      <c r="AA1" s="52" t="s">
        <v>91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>
      <c r="A2" t="s">
        <v>122</v>
      </c>
      <c r="B2" t="s">
        <v>123</v>
      </c>
      <c r="C2" s="97" t="s">
        <v>124</v>
      </c>
      <c r="D2" s="48">
        <v>44036</v>
      </c>
      <c r="E2" s="44">
        <v>304900</v>
      </c>
      <c r="F2" t="s">
        <v>33</v>
      </c>
      <c r="G2" t="s">
        <v>32</v>
      </c>
      <c r="H2" s="44">
        <v>15245</v>
      </c>
      <c r="I2" s="44">
        <v>8400</v>
      </c>
      <c r="J2" s="47">
        <v>55.100032797638562</v>
      </c>
      <c r="K2" s="44">
        <v>16800</v>
      </c>
      <c r="L2" s="44">
        <v>15245</v>
      </c>
      <c r="M2" s="44">
        <v>16800</v>
      </c>
      <c r="N2" s="94">
        <v>70</v>
      </c>
      <c r="O2" s="94">
        <v>217.78571428571428</v>
      </c>
      <c r="P2" s="54" t="s">
        <v>125</v>
      </c>
      <c r="Q2" t="s">
        <v>126</v>
      </c>
      <c r="R2" t="s">
        <v>127</v>
      </c>
      <c r="S2" t="s">
        <v>128</v>
      </c>
      <c r="T2">
        <v>0</v>
      </c>
      <c r="U2">
        <v>1</v>
      </c>
      <c r="V2" s="55">
        <v>33941</v>
      </c>
      <c r="X2" s="56" t="s">
        <v>129</v>
      </c>
    </row>
    <row r="3" spans="1:59">
      <c r="A3" t="s">
        <v>130</v>
      </c>
      <c r="B3" t="s">
        <v>131</v>
      </c>
      <c r="C3" s="97" t="s">
        <v>124</v>
      </c>
      <c r="D3" s="48">
        <v>44188</v>
      </c>
      <c r="E3" s="44">
        <v>170000</v>
      </c>
      <c r="F3" t="s">
        <v>33</v>
      </c>
      <c r="G3" t="s">
        <v>132</v>
      </c>
      <c r="H3" s="44">
        <v>170000</v>
      </c>
      <c r="I3" s="44">
        <v>78100</v>
      </c>
      <c r="J3" s="47">
        <v>45.941176470588232</v>
      </c>
      <c r="K3" s="44">
        <v>156627</v>
      </c>
      <c r="L3" s="44">
        <v>25873</v>
      </c>
      <c r="M3" s="44">
        <v>12500</v>
      </c>
      <c r="N3" s="94">
        <v>50</v>
      </c>
      <c r="O3" s="94">
        <v>517.46</v>
      </c>
      <c r="P3" s="54" t="s">
        <v>125</v>
      </c>
      <c r="Q3" t="s">
        <v>133</v>
      </c>
      <c r="R3" t="s">
        <v>2</v>
      </c>
      <c r="S3" t="s">
        <v>128</v>
      </c>
      <c r="T3">
        <v>0</v>
      </c>
      <c r="U3">
        <v>0</v>
      </c>
      <c r="V3" s="55">
        <v>33770</v>
      </c>
      <c r="X3" s="56" t="s">
        <v>134</v>
      </c>
    </row>
    <row r="4" spans="1:59">
      <c r="A4" t="s">
        <v>135</v>
      </c>
      <c r="B4" t="s">
        <v>136</v>
      </c>
      <c r="C4" s="97" t="s">
        <v>124</v>
      </c>
      <c r="D4" s="48">
        <v>44726</v>
      </c>
      <c r="E4" s="44">
        <v>145000</v>
      </c>
      <c r="F4" t="s">
        <v>33</v>
      </c>
      <c r="G4" t="s">
        <v>32</v>
      </c>
      <c r="H4" s="44">
        <v>145000</v>
      </c>
      <c r="I4" s="44">
        <v>55300</v>
      </c>
      <c r="J4" s="47">
        <v>38.137931034482762</v>
      </c>
      <c r="K4" s="44">
        <v>110547</v>
      </c>
      <c r="L4" s="44">
        <v>53173</v>
      </c>
      <c r="M4" s="44">
        <v>18720</v>
      </c>
      <c r="N4" s="94">
        <v>78</v>
      </c>
      <c r="O4" s="94">
        <v>681.70512820512818</v>
      </c>
      <c r="P4" s="54" t="s">
        <v>125</v>
      </c>
      <c r="Q4" t="s">
        <v>137</v>
      </c>
      <c r="S4" t="s">
        <v>128</v>
      </c>
      <c r="T4">
        <v>0</v>
      </c>
      <c r="U4">
        <v>0</v>
      </c>
      <c r="V4" s="55">
        <v>33770</v>
      </c>
      <c r="X4" s="56" t="s">
        <v>134</v>
      </c>
    </row>
    <row r="5" spans="1:59">
      <c r="A5" t="s">
        <v>138</v>
      </c>
      <c r="B5" t="s">
        <v>139</v>
      </c>
      <c r="C5" s="97" t="s">
        <v>124</v>
      </c>
      <c r="D5" s="48">
        <v>43668</v>
      </c>
      <c r="E5" s="44">
        <v>108900</v>
      </c>
      <c r="F5" t="s">
        <v>33</v>
      </c>
      <c r="G5" t="s">
        <v>32</v>
      </c>
      <c r="H5" s="44">
        <v>108900</v>
      </c>
      <c r="I5" s="44">
        <v>46700</v>
      </c>
      <c r="J5" s="47">
        <v>42.883379247015611</v>
      </c>
      <c r="K5" s="44">
        <v>93400</v>
      </c>
      <c r="L5" s="44">
        <v>29900</v>
      </c>
      <c r="M5" s="44">
        <v>14400</v>
      </c>
      <c r="N5" s="94">
        <v>60</v>
      </c>
      <c r="O5" s="94">
        <v>498.33333333333331</v>
      </c>
      <c r="P5" s="54" t="s">
        <v>125</v>
      </c>
      <c r="Q5" t="s">
        <v>140</v>
      </c>
      <c r="S5" t="s">
        <v>128</v>
      </c>
      <c r="T5">
        <v>0</v>
      </c>
      <c r="U5">
        <v>0</v>
      </c>
      <c r="V5" s="55">
        <v>33764</v>
      </c>
      <c r="X5" s="56" t="s">
        <v>134</v>
      </c>
    </row>
    <row r="6" spans="1:59">
      <c r="A6" t="s">
        <v>141</v>
      </c>
      <c r="B6" t="s">
        <v>142</v>
      </c>
      <c r="C6" s="97" t="s">
        <v>124</v>
      </c>
      <c r="D6" s="48">
        <v>44741</v>
      </c>
      <c r="E6" s="44">
        <v>140000</v>
      </c>
      <c r="F6" t="s">
        <v>33</v>
      </c>
      <c r="G6" t="s">
        <v>32</v>
      </c>
      <c r="H6" s="44">
        <v>140000</v>
      </c>
      <c r="I6" s="44">
        <v>61800</v>
      </c>
      <c r="J6" s="47">
        <v>44.142857142857146</v>
      </c>
      <c r="K6" s="44">
        <v>123576</v>
      </c>
      <c r="L6" s="44">
        <v>45224</v>
      </c>
      <c r="M6" s="44">
        <v>28800</v>
      </c>
      <c r="N6" s="94">
        <v>120</v>
      </c>
      <c r="O6" s="94">
        <v>376.86666666666667</v>
      </c>
      <c r="P6" s="54" t="s">
        <v>125</v>
      </c>
      <c r="Q6" t="s">
        <v>143</v>
      </c>
      <c r="S6" t="s">
        <v>128</v>
      </c>
      <c r="T6">
        <v>1</v>
      </c>
      <c r="U6">
        <v>0</v>
      </c>
      <c r="V6" s="55">
        <v>33745</v>
      </c>
      <c r="X6" s="56" t="s">
        <v>134</v>
      </c>
    </row>
    <row r="7" spans="1:59">
      <c r="A7" t="s">
        <v>144</v>
      </c>
      <c r="B7" t="s">
        <v>145</v>
      </c>
      <c r="C7" s="97" t="s">
        <v>124</v>
      </c>
      <c r="D7" s="48">
        <v>44386</v>
      </c>
      <c r="E7" s="44">
        <v>74000</v>
      </c>
      <c r="F7" t="s">
        <v>33</v>
      </c>
      <c r="G7" t="s">
        <v>32</v>
      </c>
      <c r="H7" s="44">
        <v>74000</v>
      </c>
      <c r="I7" s="44">
        <v>23700</v>
      </c>
      <c r="J7" s="47">
        <v>32.027027027027025</v>
      </c>
      <c r="K7" s="44">
        <v>47313</v>
      </c>
      <c r="L7" s="44">
        <v>39887</v>
      </c>
      <c r="M7" s="44">
        <v>13200</v>
      </c>
      <c r="N7" s="94">
        <v>55</v>
      </c>
      <c r="O7" s="94">
        <v>725.21818181818185</v>
      </c>
      <c r="P7" s="54" t="s">
        <v>125</v>
      </c>
      <c r="Q7" t="s">
        <v>146</v>
      </c>
      <c r="S7" t="s">
        <v>128</v>
      </c>
      <c r="T7">
        <v>1</v>
      </c>
      <c r="U7">
        <v>0</v>
      </c>
      <c r="V7" s="55">
        <v>33760</v>
      </c>
      <c r="X7" s="56" t="s">
        <v>134</v>
      </c>
    </row>
    <row r="8" spans="1:59">
      <c r="A8" t="s">
        <v>147</v>
      </c>
      <c r="B8" t="s">
        <v>148</v>
      </c>
      <c r="C8" s="97" t="s">
        <v>124</v>
      </c>
      <c r="D8" s="48">
        <v>43679</v>
      </c>
      <c r="E8" s="44">
        <v>54000</v>
      </c>
      <c r="F8" t="s">
        <v>33</v>
      </c>
      <c r="G8" t="s">
        <v>32</v>
      </c>
      <c r="H8" s="44">
        <v>54000</v>
      </c>
      <c r="I8" s="44">
        <v>32600</v>
      </c>
      <c r="J8" s="47">
        <v>60.370370370370374</v>
      </c>
      <c r="K8" s="44">
        <v>65185</v>
      </c>
      <c r="L8" s="92">
        <v>2015</v>
      </c>
      <c r="M8" s="44">
        <v>13200</v>
      </c>
      <c r="N8" s="95">
        <v>55</v>
      </c>
      <c r="O8" s="94">
        <v>36.636363636363633</v>
      </c>
      <c r="P8" s="54" t="s">
        <v>125</v>
      </c>
      <c r="Q8" t="s">
        <v>149</v>
      </c>
      <c r="S8" t="s">
        <v>128</v>
      </c>
      <c r="T8">
        <v>1</v>
      </c>
      <c r="U8">
        <v>0</v>
      </c>
      <c r="V8" s="55">
        <v>33760</v>
      </c>
      <c r="X8" s="56" t="s">
        <v>134</v>
      </c>
    </row>
    <row r="9" spans="1:59">
      <c r="L9" s="44">
        <v>211317</v>
      </c>
      <c r="N9" s="94">
        <v>488</v>
      </c>
      <c r="O9" s="94"/>
      <c r="P9" s="54"/>
      <c r="V9" s="55"/>
      <c r="X9" s="56"/>
    </row>
    <row r="10" spans="1:59">
      <c r="N10" s="96">
        <v>433.02663934426232</v>
      </c>
      <c r="O10" s="100"/>
      <c r="P10" s="54"/>
      <c r="V10" s="55"/>
      <c r="X10" s="56"/>
    </row>
    <row r="11" spans="1:59">
      <c r="N11" s="94"/>
      <c r="O11" s="94"/>
      <c r="P11" s="54"/>
      <c r="V11" s="55"/>
      <c r="X11" s="56"/>
    </row>
    <row r="12" spans="1:59">
      <c r="N12" s="94"/>
      <c r="O12" s="94"/>
      <c r="P12" s="54"/>
      <c r="V12" s="55"/>
      <c r="X12" s="56"/>
    </row>
    <row r="13" spans="1:59">
      <c r="A13" t="s">
        <v>150</v>
      </c>
      <c r="B13" t="s">
        <v>123</v>
      </c>
      <c r="C13" s="97" t="s">
        <v>151</v>
      </c>
      <c r="D13" s="48">
        <v>43822</v>
      </c>
      <c r="E13" s="44">
        <v>240000</v>
      </c>
      <c r="F13" t="s">
        <v>152</v>
      </c>
      <c r="G13" t="s">
        <v>32</v>
      </c>
      <c r="H13" s="44">
        <v>42000</v>
      </c>
      <c r="I13" s="44">
        <v>28600</v>
      </c>
      <c r="J13" s="99">
        <v>68.095238095238102</v>
      </c>
      <c r="K13" s="44">
        <v>57130</v>
      </c>
      <c r="L13" s="44">
        <v>15870</v>
      </c>
      <c r="M13" s="44">
        <v>31000</v>
      </c>
      <c r="N13" s="94"/>
      <c r="O13" s="94"/>
      <c r="P13" s="54" t="s">
        <v>153</v>
      </c>
      <c r="Q13" t="s">
        <v>154</v>
      </c>
      <c r="R13" t="s">
        <v>155</v>
      </c>
      <c r="S13" t="s">
        <v>128</v>
      </c>
      <c r="T13">
        <v>1</v>
      </c>
      <c r="U13">
        <v>0</v>
      </c>
      <c r="V13" s="55">
        <v>34646</v>
      </c>
      <c r="X13" s="56" t="s">
        <v>134</v>
      </c>
      <c r="AG13" s="3"/>
      <c r="AX13" s="3"/>
      <c r="AZ13" s="3"/>
    </row>
    <row r="14" spans="1:59">
      <c r="A14" t="s">
        <v>156</v>
      </c>
      <c r="B14" t="s">
        <v>157</v>
      </c>
      <c r="C14" s="97" t="s">
        <v>151</v>
      </c>
      <c r="D14" s="48">
        <v>44757</v>
      </c>
      <c r="E14" s="44">
        <v>141000</v>
      </c>
      <c r="F14" t="s">
        <v>33</v>
      </c>
      <c r="G14" t="s">
        <v>32</v>
      </c>
      <c r="H14" s="44">
        <v>15100</v>
      </c>
      <c r="I14" s="44">
        <v>8600</v>
      </c>
      <c r="J14" s="99">
        <v>56.953642384105962</v>
      </c>
      <c r="K14" s="44">
        <v>17100</v>
      </c>
      <c r="L14" s="92">
        <v>15100</v>
      </c>
      <c r="M14" s="44">
        <v>17100</v>
      </c>
      <c r="N14" s="94"/>
      <c r="O14" s="94"/>
      <c r="P14" s="54" t="s">
        <v>125</v>
      </c>
      <c r="Q14" t="s">
        <v>158</v>
      </c>
      <c r="R14" t="s">
        <v>159</v>
      </c>
      <c r="S14" t="s">
        <v>128</v>
      </c>
      <c r="T14">
        <v>1</v>
      </c>
      <c r="U14">
        <v>0</v>
      </c>
      <c r="V14" s="55">
        <v>33697</v>
      </c>
      <c r="X14" s="56" t="s">
        <v>129</v>
      </c>
    </row>
    <row r="15" spans="1:59">
      <c r="L15" s="44">
        <v>15485</v>
      </c>
      <c r="N15" s="94"/>
      <c r="O15" s="94"/>
      <c r="P15" s="54"/>
      <c r="V15" s="55"/>
      <c r="X15" s="56"/>
    </row>
    <row r="16" spans="1:59">
      <c r="N16" s="94"/>
      <c r="O16" s="94"/>
      <c r="P16" s="54"/>
      <c r="V16" s="55"/>
      <c r="X16" s="56"/>
    </row>
    <row r="17" spans="1:52">
      <c r="N17" s="94"/>
      <c r="O17" s="94"/>
      <c r="P17" s="54"/>
      <c r="V17" s="55"/>
      <c r="X17" s="56"/>
    </row>
    <row r="18" spans="1:52">
      <c r="N18" s="94"/>
      <c r="O18" s="94"/>
      <c r="P18" s="54"/>
      <c r="V18" s="55"/>
      <c r="X18" s="56"/>
    </row>
    <row r="19" spans="1:52">
      <c r="A19" t="s">
        <v>160</v>
      </c>
      <c r="B19" t="s">
        <v>161</v>
      </c>
      <c r="C19" s="97" t="s">
        <v>162</v>
      </c>
      <c r="D19" s="48">
        <v>44393</v>
      </c>
      <c r="E19" s="44">
        <v>174000</v>
      </c>
      <c r="F19" t="s">
        <v>33</v>
      </c>
      <c r="G19" t="s">
        <v>32</v>
      </c>
      <c r="H19" s="44">
        <v>174000</v>
      </c>
      <c r="I19" s="44">
        <v>83500</v>
      </c>
      <c r="J19" s="47">
        <v>47.988505747126439</v>
      </c>
      <c r="K19" s="44">
        <v>167086</v>
      </c>
      <c r="L19" s="92">
        <v>28289</v>
      </c>
      <c r="M19" s="44">
        <v>21375</v>
      </c>
      <c r="N19" s="98" t="s">
        <v>163</v>
      </c>
      <c r="O19" s="94"/>
      <c r="P19" s="54" t="s">
        <v>125</v>
      </c>
      <c r="Q19" t="s">
        <v>164</v>
      </c>
      <c r="S19" t="s">
        <v>128</v>
      </c>
      <c r="T19">
        <v>0</v>
      </c>
      <c r="U19">
        <v>1</v>
      </c>
      <c r="V19" s="55">
        <v>34646</v>
      </c>
      <c r="X19" s="56" t="s">
        <v>134</v>
      </c>
    </row>
    <row r="20" spans="1:52">
      <c r="L20" s="44">
        <v>18859.333333333332</v>
      </c>
      <c r="N20" s="94"/>
      <c r="O20" s="94"/>
      <c r="P20" s="54"/>
      <c r="V20" s="55"/>
      <c r="X20" s="56"/>
    </row>
    <row r="21" spans="1:52">
      <c r="N21" s="94"/>
      <c r="O21" s="94"/>
      <c r="P21" s="54"/>
      <c r="V21" s="55"/>
      <c r="X21" s="56"/>
    </row>
    <row r="22" spans="1:52">
      <c r="N22" s="94"/>
      <c r="O22" s="94"/>
      <c r="P22" s="54"/>
      <c r="V22" s="55"/>
      <c r="X22" s="56"/>
    </row>
    <row r="23" spans="1:52">
      <c r="A23" t="s">
        <v>165</v>
      </c>
      <c r="B23" t="s">
        <v>166</v>
      </c>
      <c r="C23" s="97" t="s">
        <v>167</v>
      </c>
      <c r="D23" s="48">
        <v>44253</v>
      </c>
      <c r="E23" s="44">
        <v>93500</v>
      </c>
      <c r="F23" t="s">
        <v>33</v>
      </c>
      <c r="G23" t="s">
        <v>32</v>
      </c>
      <c r="H23" s="44">
        <v>93500</v>
      </c>
      <c r="I23" s="44">
        <v>43400</v>
      </c>
      <c r="J23" s="47">
        <v>46.417112299465238</v>
      </c>
      <c r="K23" s="44">
        <v>86811</v>
      </c>
      <c r="L23" s="44">
        <v>64689</v>
      </c>
      <c r="M23" s="44">
        <v>58000</v>
      </c>
      <c r="N23" s="94">
        <v>290</v>
      </c>
      <c r="O23" s="94"/>
      <c r="P23" s="54" t="s">
        <v>125</v>
      </c>
      <c r="Q23" t="s">
        <v>168</v>
      </c>
      <c r="S23" t="s">
        <v>128</v>
      </c>
      <c r="T23">
        <v>0</v>
      </c>
      <c r="U23">
        <v>1</v>
      </c>
      <c r="V23" s="55">
        <v>33756</v>
      </c>
      <c r="X23" s="56" t="s">
        <v>134</v>
      </c>
    </row>
    <row r="24" spans="1:52">
      <c r="N24" s="96">
        <v>223.0655172413793</v>
      </c>
      <c r="O24" s="94"/>
      <c r="P24" s="54"/>
      <c r="V24" s="55"/>
      <c r="X24" s="56"/>
      <c r="AG24" s="3"/>
      <c r="AX24" s="3"/>
      <c r="AZ24" s="3"/>
    </row>
    <row r="25" spans="1:52" ht="15" thickBot="1">
      <c r="P25" s="54"/>
      <c r="V25" s="55"/>
      <c r="X25" s="56"/>
      <c r="AG25" s="3"/>
      <c r="AX25" s="3"/>
      <c r="AZ25" s="3"/>
    </row>
    <row r="26" spans="1:52" ht="15" thickTop="1">
      <c r="A26" s="57"/>
      <c r="B26" s="57"/>
      <c r="C26" s="57"/>
      <c r="D26" s="72"/>
      <c r="E26" s="64"/>
      <c r="F26" s="57"/>
      <c r="G26" s="57"/>
      <c r="H26" s="64"/>
      <c r="I26" s="64"/>
      <c r="J26" s="68"/>
      <c r="K26" s="64"/>
      <c r="L26" s="64"/>
      <c r="M26" s="64"/>
      <c r="N26" s="64"/>
      <c r="O26" s="64"/>
      <c r="P26" s="58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spans="1:52">
      <c r="A27" s="59"/>
      <c r="B27" s="59"/>
      <c r="C27" s="59"/>
      <c r="D27" s="73"/>
      <c r="E27" s="65"/>
      <c r="F27" s="59"/>
      <c r="G27" s="59"/>
      <c r="H27" s="65"/>
      <c r="I27" s="65"/>
      <c r="J27" s="69"/>
      <c r="K27" s="65"/>
      <c r="L27" s="65"/>
      <c r="M27" s="65"/>
      <c r="N27" s="65"/>
      <c r="O27" s="65"/>
      <c r="P27" s="60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52">
      <c r="A28" s="61"/>
      <c r="B28" s="61"/>
      <c r="C28" s="61"/>
      <c r="D28" s="74"/>
      <c r="E28" s="66"/>
      <c r="F28" s="61"/>
      <c r="G28" s="61"/>
      <c r="H28" s="66"/>
      <c r="I28" s="66"/>
      <c r="J28" s="70"/>
      <c r="K28" s="66"/>
      <c r="L28" s="66"/>
      <c r="M28" s="66"/>
      <c r="N28" s="66"/>
      <c r="O28" s="66"/>
      <c r="P28" s="62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52">
      <c r="B29" s="3">
        <v>2022</v>
      </c>
      <c r="C29" s="3">
        <v>2023</v>
      </c>
    </row>
    <row r="30" spans="1:52">
      <c r="A30" t="s">
        <v>167</v>
      </c>
      <c r="B30" s="103">
        <v>200</v>
      </c>
      <c r="C30" s="103">
        <v>292</v>
      </c>
      <c r="D30" s="101">
        <v>0.46</v>
      </c>
    </row>
    <row r="31" spans="1:52">
      <c r="A31" t="s">
        <v>169</v>
      </c>
      <c r="B31" s="103">
        <v>240</v>
      </c>
      <c r="C31" s="103">
        <v>350</v>
      </c>
      <c r="D31" s="48" t="s">
        <v>170</v>
      </c>
    </row>
    <row r="32" spans="1:52">
      <c r="A32" t="s">
        <v>162</v>
      </c>
      <c r="B32" s="103">
        <v>17100</v>
      </c>
      <c r="C32" s="103">
        <v>18800</v>
      </c>
    </row>
    <row r="33" spans="1:14">
      <c r="A33" t="s">
        <v>171</v>
      </c>
      <c r="B33" s="103">
        <v>11400</v>
      </c>
      <c r="C33" s="103">
        <v>10400</v>
      </c>
      <c r="D33" s="48" t="s">
        <v>172</v>
      </c>
    </row>
    <row r="34" spans="1:14">
      <c r="A34" t="s">
        <v>151</v>
      </c>
      <c r="B34" s="103">
        <v>17100</v>
      </c>
      <c r="C34" s="103">
        <v>15500</v>
      </c>
      <c r="D34" s="93" t="s">
        <v>173</v>
      </c>
      <c r="N34" s="101"/>
    </row>
    <row r="35" spans="1:14">
      <c r="B35" s="103"/>
      <c r="C35" s="103"/>
      <c r="N35" s="101"/>
    </row>
    <row r="36" spans="1:14">
      <c r="B36" s="103"/>
      <c r="C36" s="103"/>
      <c r="N36" s="10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8"/>
  <sheetViews>
    <sheetView topLeftCell="A18" workbookViewId="0">
      <selection activeCell="G65" sqref="G65"/>
    </sheetView>
  </sheetViews>
  <sheetFormatPr defaultRowHeight="14.4"/>
  <cols>
    <col min="2" max="2" width="12.5546875" bestFit="1" customWidth="1"/>
    <col min="14" max="15" width="11.109375" bestFit="1" customWidth="1"/>
    <col min="16" max="16" width="11.5546875" bestFit="1" customWidth="1"/>
  </cols>
  <sheetData>
    <row r="1" spans="1:15" ht="17.399999999999999" thickBot="1">
      <c r="A1" s="208" t="s">
        <v>201</v>
      </c>
      <c r="B1" s="209"/>
      <c r="C1" s="210"/>
      <c r="D1" s="137" t="s">
        <v>304</v>
      </c>
      <c r="I1" s="126" t="s">
        <v>496</v>
      </c>
      <c r="J1" s="3" t="s">
        <v>497</v>
      </c>
      <c r="K1" s="3" t="s">
        <v>499</v>
      </c>
      <c r="L1" s="126" t="s">
        <v>500</v>
      </c>
      <c r="M1" s="3" t="s">
        <v>498</v>
      </c>
    </row>
    <row r="2" spans="1:15" ht="15.6">
      <c r="B2" s="128">
        <v>2022</v>
      </c>
      <c r="C2" s="130">
        <v>2023</v>
      </c>
      <c r="I2" s="155">
        <v>2500</v>
      </c>
      <c r="J2" s="153">
        <f>K2/I2</f>
        <v>2.8</v>
      </c>
      <c r="K2" s="150">
        <v>7000</v>
      </c>
      <c r="L2" s="154">
        <f t="shared" ref="L2:L11" si="0">K2*1.1</f>
        <v>7700.0000000000009</v>
      </c>
      <c r="M2" s="94">
        <f t="shared" ref="M2:M11" si="1">I2/43560</f>
        <v>5.73921028466483E-2</v>
      </c>
      <c r="N2" s="125">
        <f t="shared" ref="N2:N11" si="2">K2/M2</f>
        <v>121968</v>
      </c>
      <c r="O2" s="125"/>
    </row>
    <row r="3" spans="1:15" ht="15.6">
      <c r="A3" s="126" t="s">
        <v>292</v>
      </c>
      <c r="B3" s="129">
        <v>1700</v>
      </c>
      <c r="C3" s="131">
        <v>1745</v>
      </c>
      <c r="D3" s="127">
        <v>2.6470588235294117E-2</v>
      </c>
      <c r="I3" s="155">
        <v>5000</v>
      </c>
      <c r="J3" s="153">
        <f t="shared" ref="J3:J11" si="3">K3/I3</f>
        <v>1.6</v>
      </c>
      <c r="K3" s="150">
        <v>8000</v>
      </c>
      <c r="L3" s="154">
        <f t="shared" si="0"/>
        <v>8800</v>
      </c>
      <c r="M3" s="94">
        <f t="shared" si="1"/>
        <v>0.1147842056932966</v>
      </c>
      <c r="N3" s="125">
        <f t="shared" si="2"/>
        <v>69696</v>
      </c>
      <c r="O3" s="125"/>
    </row>
    <row r="4" spans="1:15" ht="15.6">
      <c r="A4" s="126" t="s">
        <v>293</v>
      </c>
      <c r="B4" s="129">
        <v>1500</v>
      </c>
      <c r="C4" s="131">
        <v>1450</v>
      </c>
      <c r="D4" s="127">
        <v>-3.3333333333333333E-2</v>
      </c>
      <c r="I4" s="155">
        <v>7500</v>
      </c>
      <c r="J4" s="153">
        <f t="shared" si="3"/>
        <v>1.2</v>
      </c>
      <c r="K4" s="150">
        <v>9000</v>
      </c>
      <c r="L4" s="154">
        <f t="shared" si="0"/>
        <v>9900</v>
      </c>
      <c r="M4" s="94">
        <f t="shared" si="1"/>
        <v>0.17217630853994489</v>
      </c>
      <c r="N4" s="125">
        <f t="shared" si="2"/>
        <v>52272</v>
      </c>
      <c r="O4" s="125"/>
    </row>
    <row r="5" spans="1:15" ht="15.6">
      <c r="A5" s="126" t="s">
        <v>294</v>
      </c>
      <c r="B5" s="129">
        <v>1300</v>
      </c>
      <c r="C5" s="131">
        <v>1375</v>
      </c>
      <c r="D5" s="127">
        <v>5.7692307692307696E-2</v>
      </c>
      <c r="I5" s="155">
        <v>10000</v>
      </c>
      <c r="J5" s="153">
        <f t="shared" si="3"/>
        <v>1</v>
      </c>
      <c r="K5" s="150">
        <v>10000</v>
      </c>
      <c r="L5" s="154">
        <f t="shared" si="0"/>
        <v>11000</v>
      </c>
      <c r="M5" s="94">
        <f t="shared" si="1"/>
        <v>0.2295684113865932</v>
      </c>
      <c r="N5" s="125">
        <f t="shared" si="2"/>
        <v>43560</v>
      </c>
      <c r="O5" s="125"/>
    </row>
    <row r="6" spans="1:15" ht="15.6">
      <c r="A6" s="126" t="s">
        <v>297</v>
      </c>
      <c r="B6" s="129">
        <v>1200</v>
      </c>
      <c r="C6" s="131">
        <v>1210</v>
      </c>
      <c r="D6" s="127">
        <v>8.3333333333333332E-3</v>
      </c>
      <c r="I6" s="155">
        <v>12500</v>
      </c>
      <c r="J6" s="153">
        <f t="shared" si="3"/>
        <v>0.88</v>
      </c>
      <c r="K6" s="150">
        <v>11000</v>
      </c>
      <c r="L6" s="154">
        <f t="shared" si="0"/>
        <v>12100.000000000002</v>
      </c>
      <c r="M6" s="94">
        <f t="shared" si="1"/>
        <v>0.28696051423324148</v>
      </c>
      <c r="N6" s="125">
        <f t="shared" si="2"/>
        <v>38332.800000000003</v>
      </c>
      <c r="O6" s="125"/>
    </row>
    <row r="7" spans="1:15" ht="15.6">
      <c r="A7" s="126" t="s">
        <v>295</v>
      </c>
      <c r="B7" s="129">
        <v>1000</v>
      </c>
      <c r="C7" s="131">
        <v>1010</v>
      </c>
      <c r="D7" s="127">
        <v>0.01</v>
      </c>
      <c r="I7" s="155">
        <v>15000</v>
      </c>
      <c r="J7" s="153">
        <f t="shared" si="3"/>
        <v>0.8</v>
      </c>
      <c r="K7" s="150">
        <v>12000</v>
      </c>
      <c r="L7" s="154">
        <f t="shared" si="0"/>
        <v>13200.000000000002</v>
      </c>
      <c r="M7" s="94">
        <f t="shared" si="1"/>
        <v>0.34435261707988979</v>
      </c>
      <c r="N7" s="125">
        <f t="shared" si="2"/>
        <v>34848</v>
      </c>
      <c r="O7" s="125"/>
    </row>
    <row r="8" spans="1:15" ht="15.6">
      <c r="A8" s="126" t="s">
        <v>299</v>
      </c>
      <c r="B8" s="129">
        <v>850</v>
      </c>
      <c r="C8" s="131">
        <v>860</v>
      </c>
      <c r="D8" s="127">
        <v>1.1764705882352941E-2</v>
      </c>
      <c r="I8" s="155">
        <v>20000</v>
      </c>
      <c r="J8" s="153">
        <f t="shared" si="3"/>
        <v>0.7</v>
      </c>
      <c r="K8" s="150">
        <v>14000</v>
      </c>
      <c r="L8" s="154">
        <f t="shared" si="0"/>
        <v>15400.000000000002</v>
      </c>
      <c r="M8" s="94">
        <f t="shared" si="1"/>
        <v>0.4591368227731864</v>
      </c>
      <c r="N8" s="125">
        <f t="shared" si="2"/>
        <v>30492</v>
      </c>
      <c r="O8" s="125"/>
    </row>
    <row r="9" spans="1:15" ht="15.6">
      <c r="A9" s="126" t="s">
        <v>296</v>
      </c>
      <c r="B9" s="129">
        <v>700</v>
      </c>
      <c r="C9" s="131">
        <v>690</v>
      </c>
      <c r="D9" s="140">
        <v>-1.4285714285714285E-2</v>
      </c>
      <c r="I9" s="155">
        <v>25000</v>
      </c>
      <c r="J9" s="153">
        <f t="shared" si="3"/>
        <v>0.64</v>
      </c>
      <c r="K9" s="150">
        <v>16000</v>
      </c>
      <c r="L9" s="154">
        <f t="shared" si="0"/>
        <v>17600</v>
      </c>
      <c r="M9" s="94">
        <f t="shared" si="1"/>
        <v>0.57392102846648296</v>
      </c>
      <c r="N9" s="125">
        <f t="shared" si="2"/>
        <v>27878.400000000001</v>
      </c>
      <c r="O9" s="125"/>
    </row>
    <row r="10" spans="1:15">
      <c r="B10" t="s">
        <v>2</v>
      </c>
      <c r="D10" s="127">
        <v>9.5202696463200648E-3</v>
      </c>
      <c r="I10" s="155">
        <v>30000</v>
      </c>
      <c r="J10" s="153">
        <f t="shared" si="3"/>
        <v>0.6</v>
      </c>
      <c r="K10" s="150">
        <v>18000</v>
      </c>
      <c r="L10" s="154">
        <f t="shared" si="0"/>
        <v>19800</v>
      </c>
      <c r="M10" s="94">
        <f t="shared" si="1"/>
        <v>0.68870523415977958</v>
      </c>
      <c r="N10" s="125">
        <f t="shared" si="2"/>
        <v>26136</v>
      </c>
      <c r="O10" s="125"/>
    </row>
    <row r="11" spans="1:15" ht="15" thickBot="1">
      <c r="I11" s="155">
        <v>40000</v>
      </c>
      <c r="J11" s="153">
        <f t="shared" si="3"/>
        <v>0.55000000000000004</v>
      </c>
      <c r="K11" s="150">
        <v>22000</v>
      </c>
      <c r="L11" s="154">
        <f t="shared" si="0"/>
        <v>24200.000000000004</v>
      </c>
      <c r="M11" s="94">
        <f t="shared" si="1"/>
        <v>0.91827364554637281</v>
      </c>
      <c r="N11" s="125">
        <f t="shared" si="2"/>
        <v>23958</v>
      </c>
      <c r="O11" s="125"/>
    </row>
    <row r="12" spans="1:15" ht="17.399999999999999" thickBot="1">
      <c r="A12" s="211" t="s">
        <v>212</v>
      </c>
      <c r="B12" s="212"/>
      <c r="C12" s="213"/>
      <c r="D12" s="137" t="s">
        <v>305</v>
      </c>
      <c r="I12" s="152"/>
      <c r="J12" s="153"/>
      <c r="K12" s="150"/>
      <c r="L12" s="150"/>
      <c r="M12" s="94"/>
      <c r="N12" s="125"/>
    </row>
    <row r="13" spans="1:15" ht="15.6">
      <c r="B13" s="128">
        <v>2022</v>
      </c>
      <c r="C13" s="130">
        <v>2023</v>
      </c>
      <c r="I13" s="152"/>
      <c r="J13" s="153"/>
      <c r="K13" s="150"/>
      <c r="L13" s="150"/>
      <c r="M13" s="94"/>
      <c r="N13" s="125"/>
    </row>
    <row r="14" spans="1:15" ht="15.6">
      <c r="A14" s="126" t="s">
        <v>292</v>
      </c>
      <c r="B14" s="129">
        <v>1700</v>
      </c>
      <c r="C14" s="131">
        <v>2000</v>
      </c>
      <c r="D14" s="127">
        <v>0.17647058823529413</v>
      </c>
      <c r="F14" s="125"/>
      <c r="I14" s="152"/>
      <c r="J14" s="153"/>
      <c r="K14" s="150"/>
      <c r="L14" s="150"/>
      <c r="M14" s="94"/>
      <c r="N14" s="125"/>
    </row>
    <row r="15" spans="1:15" ht="15.6">
      <c r="A15" s="126" t="s">
        <v>293</v>
      </c>
      <c r="B15" s="129">
        <v>1425</v>
      </c>
      <c r="C15" s="131">
        <v>1695</v>
      </c>
      <c r="D15" s="127">
        <v>0.18947368421052632</v>
      </c>
      <c r="F15" s="125"/>
    </row>
    <row r="16" spans="1:15" ht="15.6">
      <c r="A16" s="126" t="s">
        <v>294</v>
      </c>
      <c r="B16" s="129">
        <v>1175</v>
      </c>
      <c r="C16" s="131">
        <v>1395</v>
      </c>
      <c r="D16" s="127">
        <v>0.18723404255319148</v>
      </c>
      <c r="F16" s="125"/>
    </row>
    <row r="17" spans="1:9" ht="15.6">
      <c r="A17" s="126" t="s">
        <v>297</v>
      </c>
      <c r="B17" s="129">
        <v>990</v>
      </c>
      <c r="C17" s="131">
        <v>1175</v>
      </c>
      <c r="D17" s="127">
        <v>0.18686868686868688</v>
      </c>
      <c r="F17" s="125"/>
    </row>
    <row r="18" spans="1:9" ht="15.6">
      <c r="A18" s="126" t="s">
        <v>295</v>
      </c>
      <c r="B18" s="129">
        <v>865</v>
      </c>
      <c r="C18" s="131">
        <v>1030</v>
      </c>
      <c r="D18" s="127">
        <v>0.19075144508670519</v>
      </c>
      <c r="F18" s="125"/>
    </row>
    <row r="19" spans="1:9" ht="15.6">
      <c r="A19" s="126" t="s">
        <v>299</v>
      </c>
      <c r="B19" s="129">
        <v>800</v>
      </c>
      <c r="C19" s="131">
        <v>950</v>
      </c>
      <c r="D19" s="127">
        <v>0.1875</v>
      </c>
      <c r="F19" s="125"/>
    </row>
    <row r="20" spans="1:9" ht="15.6">
      <c r="A20" s="126" t="s">
        <v>306</v>
      </c>
      <c r="B20" s="129">
        <v>750</v>
      </c>
      <c r="C20" s="131">
        <v>890</v>
      </c>
      <c r="D20" s="127">
        <v>0.18666666666666668</v>
      </c>
      <c r="F20" s="125"/>
    </row>
    <row r="21" spans="1:9" ht="15.6">
      <c r="A21" s="126" t="s">
        <v>307</v>
      </c>
      <c r="B21" s="129">
        <v>600</v>
      </c>
      <c r="C21" s="131">
        <v>715</v>
      </c>
      <c r="D21" s="127">
        <v>0.19166666666666668</v>
      </c>
      <c r="F21" s="125"/>
    </row>
    <row r="22" spans="1:9" ht="15.6">
      <c r="A22" s="126" t="s">
        <v>308</v>
      </c>
      <c r="B22" s="129">
        <v>320</v>
      </c>
      <c r="C22" s="131">
        <v>380</v>
      </c>
      <c r="D22" s="140">
        <v>0.1875</v>
      </c>
      <c r="F22" s="125"/>
    </row>
    <row r="23" spans="1:9" ht="15.6">
      <c r="A23" s="3"/>
      <c r="B23" s="138"/>
      <c r="C23" s="139"/>
      <c r="D23" s="127">
        <v>0.18712575336530415</v>
      </c>
      <c r="F23" s="125"/>
    </row>
    <row r="24" spans="1:9" ht="15" thickBot="1"/>
    <row r="25" spans="1:9" ht="18" thickBot="1">
      <c r="A25" s="214" t="s">
        <v>276</v>
      </c>
      <c r="B25" s="215"/>
      <c r="C25" s="216"/>
      <c r="D25" s="127" t="s">
        <v>309</v>
      </c>
    </row>
    <row r="26" spans="1:9" ht="15.6">
      <c r="B26" s="133">
        <v>2022</v>
      </c>
      <c r="C26" s="134">
        <v>2023</v>
      </c>
    </row>
    <row r="27" spans="1:9">
      <c r="A27" s="126" t="s">
        <v>310</v>
      </c>
      <c r="B27" s="135">
        <v>63000</v>
      </c>
      <c r="C27" s="135">
        <v>66700</v>
      </c>
      <c r="D27" s="177" t="s">
        <v>579</v>
      </c>
    </row>
    <row r="29" spans="1:9" ht="15" thickBot="1"/>
    <row r="30" spans="1:9" ht="18" thickBot="1">
      <c r="A30" s="217" t="s">
        <v>311</v>
      </c>
      <c r="B30" s="218"/>
      <c r="C30" s="219"/>
      <c r="D30" s="127" t="s">
        <v>312</v>
      </c>
    </row>
    <row r="31" spans="1:9" ht="15.6">
      <c r="B31" s="136">
        <v>2022</v>
      </c>
      <c r="C31" s="132">
        <v>2023</v>
      </c>
      <c r="I31">
        <f>2919/29190</f>
        <v>0.1</v>
      </c>
    </row>
    <row r="32" spans="1:9" ht="15.6">
      <c r="A32" s="126">
        <v>1</v>
      </c>
      <c r="B32" s="176">
        <v>29190</v>
      </c>
      <c r="C32" s="131">
        <v>32109.000000000004</v>
      </c>
      <c r="D32" t="s">
        <v>576</v>
      </c>
    </row>
    <row r="33" spans="1:6" ht="15.6">
      <c r="A33" s="126" t="s">
        <v>313</v>
      </c>
      <c r="B33" s="176">
        <v>43995</v>
      </c>
      <c r="C33" s="131">
        <v>48394.500000000007</v>
      </c>
      <c r="D33" s="121" t="s">
        <v>577</v>
      </c>
    </row>
    <row r="35" spans="1:6" ht="15" thickBot="1"/>
    <row r="36" spans="1:6" ht="17.399999999999999" thickBot="1">
      <c r="A36" s="220" t="s">
        <v>176</v>
      </c>
      <c r="B36" s="221"/>
      <c r="C36" s="222"/>
      <c r="D36" s="137" t="s">
        <v>314</v>
      </c>
    </row>
    <row r="37" spans="1:6" ht="15.6">
      <c r="B37" s="128">
        <v>2022</v>
      </c>
      <c r="C37" s="130">
        <v>2023</v>
      </c>
      <c r="D37" s="137" t="s">
        <v>315</v>
      </c>
    </row>
    <row r="38" spans="1:6" ht="15.6">
      <c r="A38" s="126" t="s">
        <v>292</v>
      </c>
      <c r="B38" s="129">
        <v>1172</v>
      </c>
      <c r="C38" s="131">
        <v>1290</v>
      </c>
      <c r="D38" s="137" t="s">
        <v>316</v>
      </c>
      <c r="F38" s="101"/>
    </row>
    <row r="39" spans="1:6" ht="15.6">
      <c r="A39" s="126" t="s">
        <v>293</v>
      </c>
      <c r="B39" s="129">
        <v>1074</v>
      </c>
      <c r="C39" s="131">
        <v>1180</v>
      </c>
      <c r="D39" s="127" t="s">
        <v>2</v>
      </c>
      <c r="F39" s="101"/>
    </row>
    <row r="40" spans="1:6" ht="15.6">
      <c r="A40" s="126" t="s">
        <v>294</v>
      </c>
      <c r="B40" s="129">
        <v>943</v>
      </c>
      <c r="C40" s="131">
        <v>1040</v>
      </c>
      <c r="D40" s="127" t="s">
        <v>2</v>
      </c>
      <c r="F40" s="101"/>
    </row>
    <row r="41" spans="1:6" ht="15.6">
      <c r="A41" s="126" t="s">
        <v>297</v>
      </c>
      <c r="B41" s="129">
        <v>709</v>
      </c>
      <c r="C41" s="131">
        <v>779.90000000000009</v>
      </c>
      <c r="D41" s="127" t="s">
        <v>2</v>
      </c>
      <c r="F41" s="101"/>
    </row>
    <row r="42" spans="1:6" ht="15.6">
      <c r="A42" s="126" t="s">
        <v>295</v>
      </c>
      <c r="B42" s="129">
        <v>662</v>
      </c>
      <c r="C42" s="131">
        <v>730</v>
      </c>
      <c r="D42" s="127" t="s">
        <v>2</v>
      </c>
      <c r="F42" s="101"/>
    </row>
    <row r="43" spans="1:6" ht="15.6">
      <c r="A43" s="126" t="s">
        <v>299</v>
      </c>
      <c r="B43" s="129">
        <v>595</v>
      </c>
      <c r="C43" s="131">
        <v>654.5</v>
      </c>
      <c r="D43" s="127" t="s">
        <v>2</v>
      </c>
      <c r="F43" s="101"/>
    </row>
    <row r="44" spans="1:6" ht="15.6">
      <c r="A44" s="126" t="s">
        <v>296</v>
      </c>
      <c r="B44" s="129">
        <v>609</v>
      </c>
      <c r="C44" s="131">
        <v>669.90000000000009</v>
      </c>
      <c r="F44" s="101"/>
    </row>
    <row r="45" spans="1:6" ht="15.6">
      <c r="A45" s="126" t="s">
        <v>578</v>
      </c>
      <c r="B45" s="129"/>
      <c r="C45" s="131">
        <v>500</v>
      </c>
      <c r="F45" s="101"/>
    </row>
    <row r="46" spans="1:6">
      <c r="F46" s="101"/>
    </row>
    <row r="48" spans="1:6">
      <c r="A48" s="207"/>
      <c r="B48" s="207"/>
      <c r="C48" s="207"/>
    </row>
  </sheetData>
  <mergeCells count="6">
    <mergeCell ref="A48:C48"/>
    <mergeCell ref="A1:C1"/>
    <mergeCell ref="A12:C12"/>
    <mergeCell ref="A25:C25"/>
    <mergeCell ref="A30:C30"/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M127"/>
  <sheetViews>
    <sheetView workbookViewId="0">
      <pane ySplit="1" topLeftCell="A90" activePane="bottomLeft" state="frozen"/>
      <selection pane="bottomLeft" activeCell="C99" sqref="C99"/>
    </sheetView>
  </sheetViews>
  <sheetFormatPr defaultRowHeight="14.4"/>
  <cols>
    <col min="1" max="1" width="14.33203125" bestFit="1" customWidth="1"/>
    <col min="2" max="2" width="20.88671875" bestFit="1" customWidth="1"/>
    <col min="3" max="3" width="18.109375" bestFit="1" customWidth="1"/>
    <col min="4" max="4" width="9.33203125" bestFit="1" customWidth="1"/>
    <col min="5" max="5" width="10.88671875" bestFit="1" customWidth="1"/>
    <col min="6" max="6" width="5.5546875" bestFit="1" customWidth="1"/>
    <col min="7" max="7" width="16.6640625" bestFit="1" customWidth="1"/>
    <col min="8" max="8" width="10.88671875" bestFit="1" customWidth="1"/>
    <col min="9" max="9" width="12.6640625" bestFit="1" customWidth="1"/>
    <col min="10" max="10" width="12.88671875" bestFit="1" customWidth="1"/>
    <col min="11" max="11" width="13.44140625" bestFit="1" customWidth="1"/>
    <col min="12" max="12" width="13.33203125" bestFit="1" customWidth="1"/>
    <col min="13" max="13" width="14.44140625" bestFit="1" customWidth="1"/>
    <col min="14" max="14" width="11.109375" bestFit="1" customWidth="1"/>
    <col min="15" max="15" width="10.5546875" bestFit="1" customWidth="1"/>
    <col min="16" max="16" width="18.109375" bestFit="1" customWidth="1"/>
    <col min="17" max="17" width="10.88671875" bestFit="1" customWidth="1"/>
    <col min="18" max="18" width="10" bestFit="1" customWidth="1"/>
    <col min="19" max="19" width="12" bestFit="1" customWidth="1"/>
    <col min="20" max="20" width="11.88671875" bestFit="1" customWidth="1"/>
    <col min="21" max="21" width="11.6640625" bestFit="1" customWidth="1"/>
    <col min="22" max="22" width="8.6640625" bestFit="1" customWidth="1"/>
    <col min="23" max="23" width="10.5546875" bestFit="1" customWidth="1"/>
    <col min="24" max="24" width="19.44140625" bestFit="1" customWidth="1"/>
    <col min="25" max="25" width="20" bestFit="1" customWidth="1"/>
    <col min="26" max="26" width="6.88671875" bestFit="1" customWidth="1"/>
    <col min="27" max="27" width="6.44140625" bestFit="1" customWidth="1"/>
    <col min="28" max="28" width="15" bestFit="1" customWidth="1"/>
    <col min="29" max="29" width="9.44140625" bestFit="1" customWidth="1"/>
    <col min="30" max="30" width="5.44140625" bestFit="1" customWidth="1"/>
    <col min="31" max="33" width="12.44140625" bestFit="1" customWidth="1"/>
  </cols>
  <sheetData>
    <row r="1" spans="1:65" ht="15" thickBot="1">
      <c r="A1" s="52" t="s">
        <v>63</v>
      </c>
      <c r="B1" s="52" t="s">
        <v>62</v>
      </c>
      <c r="C1" s="52"/>
      <c r="D1" s="71" t="s">
        <v>61</v>
      </c>
      <c r="E1" s="63" t="s">
        <v>60</v>
      </c>
      <c r="F1" s="52" t="s">
        <v>59</v>
      </c>
      <c r="G1" s="52" t="s">
        <v>58</v>
      </c>
      <c r="H1" s="63" t="s">
        <v>57</v>
      </c>
      <c r="I1" s="63" t="s">
        <v>56</v>
      </c>
      <c r="J1" s="67" t="s">
        <v>55</v>
      </c>
      <c r="K1" s="63" t="s">
        <v>54</v>
      </c>
      <c r="L1" s="63" t="s">
        <v>53</v>
      </c>
      <c r="M1" s="63" t="s">
        <v>52</v>
      </c>
      <c r="N1" s="75" t="s">
        <v>51</v>
      </c>
      <c r="O1" s="78" t="s">
        <v>50</v>
      </c>
      <c r="P1" s="82" t="s">
        <v>49</v>
      </c>
      <c r="Q1" s="82" t="s">
        <v>48</v>
      </c>
      <c r="R1" s="63" t="s">
        <v>47</v>
      </c>
      <c r="S1" s="63" t="s">
        <v>46</v>
      </c>
      <c r="T1" s="86" t="s">
        <v>45</v>
      </c>
      <c r="U1" s="82" t="s">
        <v>44</v>
      </c>
      <c r="V1" s="53" t="s">
        <v>43</v>
      </c>
      <c r="W1" s="52" t="s">
        <v>42</v>
      </c>
      <c r="X1" s="52" t="s">
        <v>41</v>
      </c>
      <c r="Y1" s="52" t="s">
        <v>40</v>
      </c>
      <c r="Z1" s="52" t="s">
        <v>39</v>
      </c>
      <c r="AA1" s="52" t="s">
        <v>38</v>
      </c>
      <c r="AB1" s="52" t="s">
        <v>37</v>
      </c>
      <c r="AC1" s="52" t="s">
        <v>36</v>
      </c>
      <c r="AD1" s="52" t="s">
        <v>35</v>
      </c>
      <c r="AE1" s="52" t="s">
        <v>89</v>
      </c>
      <c r="AF1" s="52" t="s">
        <v>90</v>
      </c>
      <c r="AG1" s="52" t="s">
        <v>91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ht="15" thickBot="1">
      <c r="A2" s="118" t="s">
        <v>201</v>
      </c>
    </row>
    <row r="3" spans="1:65">
      <c r="A3" t="s">
        <v>223</v>
      </c>
      <c r="B3" t="s">
        <v>224</v>
      </c>
      <c r="C3" t="s">
        <v>201</v>
      </c>
      <c r="D3" s="48">
        <v>43615</v>
      </c>
      <c r="E3" s="44">
        <v>172000</v>
      </c>
      <c r="F3" t="s">
        <v>33</v>
      </c>
      <c r="G3" t="s">
        <v>32</v>
      </c>
      <c r="H3" s="44">
        <v>172000</v>
      </c>
      <c r="I3" s="44">
        <v>88300</v>
      </c>
      <c r="J3" s="47">
        <v>51.337209302325583</v>
      </c>
      <c r="K3" s="44">
        <v>176597</v>
      </c>
      <c r="L3" s="44">
        <v>63403</v>
      </c>
      <c r="M3" s="44">
        <v>68000</v>
      </c>
      <c r="N3" s="46">
        <v>40</v>
      </c>
      <c r="O3" s="45">
        <v>0</v>
      </c>
      <c r="P3" s="42">
        <v>0</v>
      </c>
      <c r="Q3" s="42">
        <v>0</v>
      </c>
      <c r="R3" s="44">
        <v>1585.075</v>
      </c>
      <c r="S3" s="44" t="e">
        <v>#DIV/0!</v>
      </c>
      <c r="T3" s="43" t="e">
        <v>#DIV/0!</v>
      </c>
      <c r="U3" s="42">
        <v>0</v>
      </c>
      <c r="V3" s="54" t="s">
        <v>153</v>
      </c>
      <c r="W3" t="s">
        <v>225</v>
      </c>
      <c r="Y3" t="s">
        <v>178</v>
      </c>
      <c r="Z3">
        <v>0</v>
      </c>
      <c r="AA3">
        <v>1</v>
      </c>
      <c r="AB3" s="55">
        <v>33827</v>
      </c>
      <c r="AD3" s="56" t="s">
        <v>134</v>
      </c>
    </row>
    <row r="4" spans="1:65">
      <c r="A4" t="s">
        <v>268</v>
      </c>
      <c r="B4" t="s">
        <v>269</v>
      </c>
      <c r="C4" t="s">
        <v>201</v>
      </c>
      <c r="D4" s="48">
        <v>44019</v>
      </c>
      <c r="E4" s="44">
        <v>280000</v>
      </c>
      <c r="F4" t="s">
        <v>33</v>
      </c>
      <c r="G4" t="s">
        <v>32</v>
      </c>
      <c r="H4" s="44">
        <v>280000</v>
      </c>
      <c r="I4" s="44">
        <v>151600</v>
      </c>
      <c r="J4" s="47">
        <v>54.142857142857146</v>
      </c>
      <c r="K4" s="44">
        <v>303156</v>
      </c>
      <c r="L4" s="44">
        <v>44844</v>
      </c>
      <c r="M4" s="44">
        <v>68000</v>
      </c>
      <c r="N4" s="46">
        <v>40</v>
      </c>
      <c r="O4" s="45">
        <v>0</v>
      </c>
      <c r="P4" s="42">
        <v>0</v>
      </c>
      <c r="Q4" s="42">
        <v>0</v>
      </c>
      <c r="R4" s="44">
        <v>1121.0999999999999</v>
      </c>
      <c r="S4" s="44" t="e">
        <v>#DIV/0!</v>
      </c>
      <c r="T4" s="43" t="e">
        <v>#DIV/0!</v>
      </c>
      <c r="U4" s="42">
        <v>0</v>
      </c>
      <c r="V4" s="54" t="s">
        <v>153</v>
      </c>
      <c r="W4" t="s">
        <v>270</v>
      </c>
      <c r="Y4" t="s">
        <v>178</v>
      </c>
      <c r="Z4">
        <v>0</v>
      </c>
      <c r="AA4">
        <v>1</v>
      </c>
      <c r="AB4" s="55">
        <v>33771</v>
      </c>
      <c r="AD4" s="56" t="s">
        <v>134</v>
      </c>
    </row>
    <row r="5" spans="1:65">
      <c r="A5" t="s">
        <v>271</v>
      </c>
      <c r="B5" t="s">
        <v>272</v>
      </c>
      <c r="C5" t="s">
        <v>201</v>
      </c>
      <c r="D5" s="48">
        <v>44447</v>
      </c>
      <c r="E5" s="44">
        <v>325000</v>
      </c>
      <c r="F5" t="s">
        <v>33</v>
      </c>
      <c r="G5" t="s">
        <v>32</v>
      </c>
      <c r="H5" s="44">
        <v>325000</v>
      </c>
      <c r="I5" s="44">
        <v>133000</v>
      </c>
      <c r="J5" s="47">
        <v>40.92307692307692</v>
      </c>
      <c r="K5" s="44">
        <v>265912</v>
      </c>
      <c r="L5" s="44">
        <v>127088</v>
      </c>
      <c r="M5" s="44">
        <v>68000</v>
      </c>
      <c r="N5" s="46">
        <v>40</v>
      </c>
      <c r="O5" s="45">
        <v>0</v>
      </c>
      <c r="P5" s="42">
        <v>0</v>
      </c>
      <c r="Q5" s="42">
        <v>0</v>
      </c>
      <c r="R5" s="44">
        <v>3177.2</v>
      </c>
      <c r="S5" s="44" t="e">
        <v>#DIV/0!</v>
      </c>
      <c r="T5" s="43" t="e">
        <v>#DIV/0!</v>
      </c>
      <c r="U5" s="42">
        <v>0</v>
      </c>
      <c r="V5" s="54" t="s">
        <v>153</v>
      </c>
      <c r="W5" t="s">
        <v>273</v>
      </c>
      <c r="Y5" t="s">
        <v>178</v>
      </c>
      <c r="Z5">
        <v>0</v>
      </c>
      <c r="AA5">
        <v>1</v>
      </c>
      <c r="AB5" s="55">
        <v>33771</v>
      </c>
      <c r="AD5" s="56" t="s">
        <v>134</v>
      </c>
    </row>
    <row r="6" spans="1:65">
      <c r="A6" t="s">
        <v>203</v>
      </c>
      <c r="B6" t="s">
        <v>204</v>
      </c>
      <c r="C6" t="s">
        <v>201</v>
      </c>
      <c r="D6" s="48">
        <v>44140</v>
      </c>
      <c r="E6" s="44">
        <v>150000</v>
      </c>
      <c r="F6" t="s">
        <v>33</v>
      </c>
      <c r="G6" t="s">
        <v>32</v>
      </c>
      <c r="H6" s="44">
        <v>150000</v>
      </c>
      <c r="I6" s="44">
        <v>76900</v>
      </c>
      <c r="J6" s="47">
        <v>51.266666666666673</v>
      </c>
      <c r="K6" s="44">
        <v>153870</v>
      </c>
      <c r="L6" s="44">
        <v>81130</v>
      </c>
      <c r="M6" s="44">
        <v>85000</v>
      </c>
      <c r="N6" s="46">
        <v>50</v>
      </c>
      <c r="O6" s="45">
        <v>0</v>
      </c>
      <c r="P6" s="42">
        <v>0</v>
      </c>
      <c r="Q6" s="42">
        <v>0</v>
      </c>
      <c r="R6" s="44">
        <v>1622.6</v>
      </c>
      <c r="S6" s="44" t="e">
        <v>#DIV/0!</v>
      </c>
      <c r="T6" s="43" t="e">
        <v>#DIV/0!</v>
      </c>
      <c r="U6" s="42">
        <v>0</v>
      </c>
      <c r="V6" s="54" t="s">
        <v>153</v>
      </c>
      <c r="W6" t="s">
        <v>205</v>
      </c>
      <c r="Y6" t="s">
        <v>178</v>
      </c>
      <c r="Z6">
        <v>0</v>
      </c>
      <c r="AA6">
        <v>0</v>
      </c>
      <c r="AB6" s="55">
        <v>33766</v>
      </c>
      <c r="AD6" s="56" t="s">
        <v>134</v>
      </c>
    </row>
    <row r="7" spans="1:65">
      <c r="A7" t="s">
        <v>203</v>
      </c>
      <c r="B7" t="s">
        <v>204</v>
      </c>
      <c r="C7" t="s">
        <v>201</v>
      </c>
      <c r="D7" s="48">
        <v>43727</v>
      </c>
      <c r="E7" s="44">
        <v>120000</v>
      </c>
      <c r="F7" t="s">
        <v>33</v>
      </c>
      <c r="G7" t="s">
        <v>32</v>
      </c>
      <c r="H7" s="44">
        <v>120000</v>
      </c>
      <c r="I7" s="44">
        <v>76900</v>
      </c>
      <c r="J7" s="47">
        <v>64.083333333333343</v>
      </c>
      <c r="K7" s="44">
        <v>153870</v>
      </c>
      <c r="L7" s="44">
        <v>51130</v>
      </c>
      <c r="M7" s="44">
        <v>85000</v>
      </c>
      <c r="N7" s="46">
        <v>50</v>
      </c>
      <c r="O7" s="45">
        <v>0</v>
      </c>
      <c r="P7" s="42">
        <v>0</v>
      </c>
      <c r="Q7" s="42">
        <v>0</v>
      </c>
      <c r="R7" s="44">
        <v>1022.6</v>
      </c>
      <c r="S7" s="44" t="e">
        <v>#DIV/0!</v>
      </c>
      <c r="T7" s="43" t="e">
        <v>#DIV/0!</v>
      </c>
      <c r="U7" s="42">
        <v>0</v>
      </c>
      <c r="V7" s="54" t="s">
        <v>153</v>
      </c>
      <c r="W7" t="s">
        <v>206</v>
      </c>
      <c r="Y7" t="s">
        <v>178</v>
      </c>
      <c r="Z7">
        <v>0</v>
      </c>
      <c r="AA7">
        <v>0</v>
      </c>
      <c r="AB7" s="55">
        <v>33766</v>
      </c>
      <c r="AD7" s="56" t="s">
        <v>134</v>
      </c>
    </row>
    <row r="8" spans="1:65">
      <c r="A8" t="s">
        <v>229</v>
      </c>
      <c r="B8" t="s">
        <v>230</v>
      </c>
      <c r="C8" t="s">
        <v>201</v>
      </c>
      <c r="D8" s="48">
        <v>44818</v>
      </c>
      <c r="E8" s="44">
        <v>55000</v>
      </c>
      <c r="F8" t="s">
        <v>33</v>
      </c>
      <c r="G8" t="s">
        <v>32</v>
      </c>
      <c r="H8" s="44">
        <v>55000</v>
      </c>
      <c r="I8" s="44">
        <v>42500</v>
      </c>
      <c r="J8" s="47">
        <v>77.272727272727266</v>
      </c>
      <c r="K8" s="44">
        <v>85000</v>
      </c>
      <c r="L8" s="44">
        <v>55000</v>
      </c>
      <c r="M8" s="44">
        <v>85000</v>
      </c>
      <c r="N8" s="46">
        <v>50</v>
      </c>
      <c r="O8" s="45">
        <v>0</v>
      </c>
      <c r="P8" s="42">
        <v>0</v>
      </c>
      <c r="Q8" s="42">
        <v>0</v>
      </c>
      <c r="R8" s="44">
        <v>1100</v>
      </c>
      <c r="S8" s="44" t="e">
        <v>#DIV/0!</v>
      </c>
      <c r="T8" s="43" t="e">
        <v>#DIV/0!</v>
      </c>
      <c r="U8" s="42">
        <v>0</v>
      </c>
      <c r="V8" s="54" t="s">
        <v>153</v>
      </c>
      <c r="W8" t="s">
        <v>231</v>
      </c>
      <c r="Y8" t="s">
        <v>178</v>
      </c>
      <c r="Z8">
        <v>0</v>
      </c>
      <c r="AA8">
        <v>0</v>
      </c>
      <c r="AB8" s="55">
        <v>33770</v>
      </c>
      <c r="AD8" s="56" t="s">
        <v>129</v>
      </c>
    </row>
    <row r="9" spans="1:65">
      <c r="A9" t="s">
        <v>232</v>
      </c>
      <c r="B9" t="s">
        <v>233</v>
      </c>
      <c r="C9" t="s">
        <v>201</v>
      </c>
      <c r="D9" s="48">
        <v>44609</v>
      </c>
      <c r="E9" s="44">
        <v>175000</v>
      </c>
      <c r="F9" t="s">
        <v>33</v>
      </c>
      <c r="G9" t="s">
        <v>32</v>
      </c>
      <c r="H9" s="44">
        <v>175000</v>
      </c>
      <c r="I9" s="44">
        <v>72000</v>
      </c>
      <c r="J9" s="47">
        <v>41.142857142857139</v>
      </c>
      <c r="K9" s="44">
        <v>144014</v>
      </c>
      <c r="L9" s="44">
        <v>115986</v>
      </c>
      <c r="M9" s="44">
        <v>85000</v>
      </c>
      <c r="N9" s="46">
        <v>50</v>
      </c>
      <c r="O9" s="45">
        <v>0</v>
      </c>
      <c r="P9" s="42">
        <v>0</v>
      </c>
      <c r="Q9" s="42">
        <v>0</v>
      </c>
      <c r="R9" s="44">
        <v>2319.7199999999998</v>
      </c>
      <c r="S9" s="44" t="e">
        <v>#DIV/0!</v>
      </c>
      <c r="T9" s="43" t="e">
        <v>#DIV/0!</v>
      </c>
      <c r="U9" s="42">
        <v>0</v>
      </c>
      <c r="V9" s="54" t="s">
        <v>153</v>
      </c>
      <c r="W9" t="s">
        <v>234</v>
      </c>
      <c r="Y9" t="s">
        <v>178</v>
      </c>
      <c r="Z9">
        <v>0</v>
      </c>
      <c r="AA9">
        <v>0</v>
      </c>
      <c r="AB9" s="55">
        <v>33770</v>
      </c>
      <c r="AD9" s="56" t="s">
        <v>134</v>
      </c>
    </row>
    <row r="10" spans="1:65">
      <c r="A10" t="s">
        <v>235</v>
      </c>
      <c r="B10" t="s">
        <v>236</v>
      </c>
      <c r="C10" t="s">
        <v>237</v>
      </c>
      <c r="D10" s="48">
        <v>44497</v>
      </c>
      <c r="E10" s="44">
        <v>175000</v>
      </c>
      <c r="F10" t="s">
        <v>33</v>
      </c>
      <c r="G10" t="s">
        <v>32</v>
      </c>
      <c r="H10" s="44">
        <v>175000</v>
      </c>
      <c r="I10" s="44">
        <v>76500</v>
      </c>
      <c r="J10" s="47">
        <v>43.714285714285715</v>
      </c>
      <c r="K10" s="44">
        <v>153026</v>
      </c>
      <c r="L10" s="92">
        <v>106974</v>
      </c>
      <c r="M10" s="44">
        <v>85000</v>
      </c>
      <c r="N10" s="91">
        <v>50</v>
      </c>
      <c r="O10" s="45">
        <v>0</v>
      </c>
      <c r="P10" s="42">
        <v>0</v>
      </c>
      <c r="Q10" s="42">
        <v>0</v>
      </c>
      <c r="R10" s="44">
        <v>2139.48</v>
      </c>
      <c r="S10" s="44" t="e">
        <v>#DIV/0!</v>
      </c>
      <c r="T10" s="43" t="e">
        <v>#DIV/0!</v>
      </c>
      <c r="U10" s="42">
        <v>0</v>
      </c>
      <c r="V10" s="54" t="s">
        <v>153</v>
      </c>
      <c r="W10" t="s">
        <v>238</v>
      </c>
      <c r="Y10" t="s">
        <v>178</v>
      </c>
      <c r="Z10">
        <v>0</v>
      </c>
      <c r="AA10">
        <v>0</v>
      </c>
      <c r="AB10" s="55">
        <v>33770</v>
      </c>
      <c r="AD10" s="56" t="s">
        <v>134</v>
      </c>
    </row>
    <row r="11" spans="1:65" ht="15" thickBot="1">
      <c r="D11" s="48"/>
      <c r="E11" s="44"/>
      <c r="H11" s="44"/>
      <c r="I11" s="44"/>
      <c r="J11" s="47"/>
      <c r="K11" s="44"/>
      <c r="L11" s="44">
        <f>SUM(L3:L10)</f>
        <v>645555</v>
      </c>
      <c r="M11" s="44"/>
      <c r="N11" s="46">
        <f>SUM(N3:N10)</f>
        <v>370</v>
      </c>
      <c r="O11" s="45"/>
      <c r="P11" s="42"/>
      <c r="Q11" s="42"/>
      <c r="R11" s="44"/>
      <c r="S11" s="44"/>
      <c r="T11" s="43"/>
      <c r="U11" s="42"/>
      <c r="V11" s="54"/>
      <c r="AB11" s="55"/>
      <c r="AD11" s="56"/>
    </row>
    <row r="12" spans="1:65" ht="15" thickBot="1">
      <c r="D12" s="48"/>
      <c r="E12" s="44"/>
      <c r="H12" s="44"/>
      <c r="I12" s="44"/>
      <c r="J12" s="47"/>
      <c r="K12" s="44"/>
      <c r="L12" s="44"/>
      <c r="M12" s="44"/>
      <c r="N12" s="46"/>
      <c r="O12" s="104">
        <f>L11/N11</f>
        <v>1744.7432432432433</v>
      </c>
      <c r="P12" s="105" t="s">
        <v>292</v>
      </c>
      <c r="Q12" s="42"/>
      <c r="R12" s="44"/>
      <c r="S12" s="44"/>
      <c r="T12" s="43"/>
      <c r="U12" s="42"/>
      <c r="V12" s="54"/>
      <c r="AB12" s="55"/>
      <c r="AD12" s="56"/>
    </row>
    <row r="13" spans="1:65">
      <c r="D13" s="48"/>
      <c r="E13" s="44"/>
      <c r="H13" s="44"/>
      <c r="I13" s="44"/>
      <c r="J13" s="47"/>
      <c r="K13" s="44"/>
      <c r="L13" s="44"/>
      <c r="M13" s="44"/>
      <c r="N13" s="46"/>
      <c r="O13" s="45"/>
      <c r="P13" s="42"/>
      <c r="Q13" s="42"/>
      <c r="R13" s="44"/>
      <c r="S13" s="44"/>
      <c r="T13" s="43"/>
      <c r="U13" s="42"/>
      <c r="V13" s="54"/>
      <c r="AB13" s="55"/>
      <c r="AD13" s="56"/>
    </row>
    <row r="14" spans="1:65">
      <c r="A14" t="s">
        <v>248</v>
      </c>
      <c r="B14" t="s">
        <v>249</v>
      </c>
      <c r="C14" t="s">
        <v>201</v>
      </c>
      <c r="D14" s="48">
        <v>44834</v>
      </c>
      <c r="E14" s="44">
        <v>185000</v>
      </c>
      <c r="F14" t="s">
        <v>33</v>
      </c>
      <c r="G14" t="s">
        <v>32</v>
      </c>
      <c r="H14" s="44">
        <v>185000</v>
      </c>
      <c r="I14" s="44">
        <v>82200</v>
      </c>
      <c r="J14" s="47">
        <v>44.432432432432435</v>
      </c>
      <c r="K14" s="44">
        <v>164359</v>
      </c>
      <c r="L14" s="44">
        <v>110641</v>
      </c>
      <c r="M14" s="44">
        <v>90000</v>
      </c>
      <c r="N14" s="46">
        <v>60</v>
      </c>
      <c r="O14" s="45">
        <v>0</v>
      </c>
      <c r="P14" s="42">
        <v>0</v>
      </c>
      <c r="Q14" s="42">
        <v>0</v>
      </c>
      <c r="R14" s="44">
        <v>1844.0166666666667</v>
      </c>
      <c r="S14" s="44" t="e">
        <v>#DIV/0!</v>
      </c>
      <c r="T14" s="43" t="e">
        <v>#DIV/0!</v>
      </c>
      <c r="U14" s="42">
        <v>0</v>
      </c>
      <c r="V14" s="54" t="s">
        <v>153</v>
      </c>
      <c r="W14" t="s">
        <v>250</v>
      </c>
      <c r="Y14" t="s">
        <v>178</v>
      </c>
      <c r="Z14">
        <v>0</v>
      </c>
      <c r="AA14">
        <v>0</v>
      </c>
      <c r="AB14" s="55">
        <v>33777</v>
      </c>
      <c r="AD14" s="56" t="s">
        <v>134</v>
      </c>
    </row>
    <row r="15" spans="1:65">
      <c r="A15" t="s">
        <v>251</v>
      </c>
      <c r="B15" t="s">
        <v>252</v>
      </c>
      <c r="C15" t="s">
        <v>201</v>
      </c>
      <c r="D15" s="48">
        <v>44300</v>
      </c>
      <c r="E15" s="44">
        <v>68000</v>
      </c>
      <c r="F15" t="s">
        <v>33</v>
      </c>
      <c r="G15" t="s">
        <v>32</v>
      </c>
      <c r="H15" s="44">
        <v>68000</v>
      </c>
      <c r="I15" s="44">
        <v>45000</v>
      </c>
      <c r="J15" s="47">
        <v>66.17647058823529</v>
      </c>
      <c r="K15" s="44">
        <v>90000</v>
      </c>
      <c r="L15" s="44">
        <v>68000</v>
      </c>
      <c r="M15" s="44">
        <v>90000</v>
      </c>
      <c r="N15" s="46">
        <v>60</v>
      </c>
      <c r="O15" s="45">
        <v>0</v>
      </c>
      <c r="P15" s="42">
        <v>0</v>
      </c>
      <c r="Q15" s="42">
        <v>0</v>
      </c>
      <c r="R15" s="44">
        <v>1133.3333333333333</v>
      </c>
      <c r="S15" s="44" t="e">
        <v>#DIV/0!</v>
      </c>
      <c r="T15" s="43" t="e">
        <v>#DIV/0!</v>
      </c>
      <c r="U15" s="42">
        <v>0</v>
      </c>
      <c r="V15" s="54" t="s">
        <v>153</v>
      </c>
      <c r="W15" t="s">
        <v>253</v>
      </c>
      <c r="Y15" t="s">
        <v>178</v>
      </c>
      <c r="Z15">
        <v>0</v>
      </c>
      <c r="AA15">
        <v>0</v>
      </c>
      <c r="AB15" s="55">
        <v>33777</v>
      </c>
      <c r="AD15" s="56" t="s">
        <v>129</v>
      </c>
    </row>
    <row r="16" spans="1:65">
      <c r="A16" t="s">
        <v>226</v>
      </c>
      <c r="B16" t="s">
        <v>227</v>
      </c>
      <c r="C16" t="s">
        <v>201</v>
      </c>
      <c r="D16" s="48">
        <v>44818</v>
      </c>
      <c r="E16" s="44">
        <v>100000</v>
      </c>
      <c r="F16" t="s">
        <v>33</v>
      </c>
      <c r="G16" t="s">
        <v>32</v>
      </c>
      <c r="H16" s="44">
        <v>100000</v>
      </c>
      <c r="I16" s="44">
        <v>54000</v>
      </c>
      <c r="J16" s="47">
        <v>54</v>
      </c>
      <c r="K16" s="44">
        <v>108039</v>
      </c>
      <c r="L16" s="92">
        <v>96961</v>
      </c>
      <c r="M16" s="44">
        <v>105000</v>
      </c>
      <c r="N16" s="91">
        <v>70</v>
      </c>
      <c r="O16" s="45">
        <v>0</v>
      </c>
      <c r="P16" s="42">
        <v>0</v>
      </c>
      <c r="Q16" s="42">
        <v>0</v>
      </c>
      <c r="R16" s="44">
        <v>1385.1571428571428</v>
      </c>
      <c r="S16" s="44" t="e">
        <v>#DIV/0!</v>
      </c>
      <c r="T16" s="43" t="e">
        <v>#DIV/0!</v>
      </c>
      <c r="U16" s="42">
        <v>0</v>
      </c>
      <c r="V16" s="54" t="s">
        <v>153</v>
      </c>
      <c r="W16" t="s">
        <v>228</v>
      </c>
      <c r="Y16" t="s">
        <v>178</v>
      </c>
      <c r="Z16">
        <v>0</v>
      </c>
      <c r="AA16">
        <v>0</v>
      </c>
      <c r="AB16" s="55">
        <v>33770</v>
      </c>
      <c r="AD16" s="56" t="s">
        <v>134</v>
      </c>
    </row>
    <row r="17" spans="1:30" ht="15" thickBot="1">
      <c r="D17" s="48"/>
      <c r="E17" s="44"/>
      <c r="H17" s="44"/>
      <c r="I17" s="44"/>
      <c r="J17" s="47"/>
      <c r="K17" s="44"/>
      <c r="L17" s="44">
        <f>SUM(L14:L16)</f>
        <v>275602</v>
      </c>
      <c r="M17" s="44"/>
      <c r="N17" s="46">
        <f>SUM(N14:N16)</f>
        <v>190</v>
      </c>
      <c r="O17" s="45"/>
      <c r="P17" s="42"/>
      <c r="Q17" s="42"/>
      <c r="R17" s="44"/>
      <c r="S17" s="44"/>
      <c r="T17" s="43"/>
      <c r="U17" s="42"/>
      <c r="V17" s="54"/>
      <c r="AB17" s="55"/>
      <c r="AD17" s="56"/>
    </row>
    <row r="18" spans="1:30" ht="15" thickBot="1">
      <c r="D18" s="48"/>
      <c r="E18" s="44"/>
      <c r="H18" s="44"/>
      <c r="I18" s="44"/>
      <c r="J18" s="47"/>
      <c r="K18" s="44"/>
      <c r="L18" s="44"/>
      <c r="M18" s="44"/>
      <c r="N18" s="46"/>
      <c r="O18" s="104">
        <f>L17/N17</f>
        <v>1450.5368421052631</v>
      </c>
      <c r="P18" s="105" t="s">
        <v>293</v>
      </c>
      <c r="Q18" s="42"/>
      <c r="R18" s="44"/>
      <c r="S18" s="44"/>
      <c r="T18" s="43"/>
      <c r="U18" s="42"/>
      <c r="V18" s="54"/>
      <c r="AB18" s="55"/>
      <c r="AD18" s="56"/>
    </row>
    <row r="19" spans="1:30">
      <c r="D19" s="48"/>
      <c r="E19" s="44"/>
      <c r="H19" s="44"/>
      <c r="I19" s="44"/>
      <c r="J19" s="47"/>
      <c r="K19" s="44"/>
      <c r="L19" s="44"/>
      <c r="M19" s="44"/>
      <c r="N19" s="46"/>
      <c r="O19" s="45"/>
      <c r="P19" s="42"/>
      <c r="Q19" s="42"/>
      <c r="R19" s="44"/>
      <c r="S19" s="44"/>
      <c r="T19" s="43"/>
      <c r="U19" s="42"/>
      <c r="V19" s="54"/>
      <c r="AB19" s="55"/>
      <c r="AD19" s="56"/>
    </row>
    <row r="20" spans="1:30">
      <c r="A20" t="s">
        <v>199</v>
      </c>
      <c r="B20" t="s">
        <v>200</v>
      </c>
      <c r="C20" t="s">
        <v>201</v>
      </c>
      <c r="D20" s="48">
        <v>44085</v>
      </c>
      <c r="E20" s="44">
        <v>349000</v>
      </c>
      <c r="F20" t="s">
        <v>33</v>
      </c>
      <c r="G20" t="s">
        <v>32</v>
      </c>
      <c r="H20" s="44">
        <v>349000</v>
      </c>
      <c r="I20" s="44">
        <v>154000</v>
      </c>
      <c r="J20" s="47">
        <v>44.126074498567334</v>
      </c>
      <c r="K20" s="44">
        <v>307907</v>
      </c>
      <c r="L20" s="44">
        <v>193676</v>
      </c>
      <c r="M20" s="44">
        <v>152583</v>
      </c>
      <c r="N20" s="46">
        <v>80</v>
      </c>
      <c r="O20" s="45">
        <v>0</v>
      </c>
      <c r="P20" s="42">
        <v>10.07</v>
      </c>
      <c r="Q20" s="42">
        <v>10.07</v>
      </c>
      <c r="R20" s="44">
        <v>2420.9499999999998</v>
      </c>
      <c r="S20" s="44">
        <v>19232.969215491557</v>
      </c>
      <c r="T20" s="43">
        <v>0.44152821890476485</v>
      </c>
      <c r="U20" s="42">
        <v>0</v>
      </c>
      <c r="V20" s="54" t="s">
        <v>153</v>
      </c>
      <c r="W20" t="s">
        <v>202</v>
      </c>
      <c r="Y20" t="s">
        <v>178</v>
      </c>
      <c r="Z20">
        <v>0</v>
      </c>
      <c r="AA20">
        <v>0</v>
      </c>
      <c r="AB20" s="55">
        <v>34646</v>
      </c>
      <c r="AD20" s="56" t="s">
        <v>134</v>
      </c>
    </row>
    <row r="21" spans="1:30">
      <c r="A21" t="s">
        <v>239</v>
      </c>
      <c r="B21" t="s">
        <v>240</v>
      </c>
      <c r="C21" t="s">
        <v>201</v>
      </c>
      <c r="D21" s="48">
        <v>43643</v>
      </c>
      <c r="E21" s="44">
        <v>215000</v>
      </c>
      <c r="F21" t="s">
        <v>33</v>
      </c>
      <c r="G21" t="s">
        <v>32</v>
      </c>
      <c r="H21" s="44">
        <v>215000</v>
      </c>
      <c r="I21" s="44">
        <v>117700</v>
      </c>
      <c r="J21" s="47">
        <v>54.744186046511622</v>
      </c>
      <c r="K21" s="44">
        <v>235478</v>
      </c>
      <c r="L21" s="44">
        <v>96522</v>
      </c>
      <c r="M21" s="44">
        <v>117000</v>
      </c>
      <c r="N21" s="46">
        <v>90</v>
      </c>
      <c r="O21" s="45">
        <v>0</v>
      </c>
      <c r="P21" s="42">
        <v>0</v>
      </c>
      <c r="Q21" s="42">
        <v>0</v>
      </c>
      <c r="R21" s="44">
        <v>1072.4666666666667</v>
      </c>
      <c r="S21" s="44" t="e">
        <v>#DIV/0!</v>
      </c>
      <c r="T21" s="43" t="e">
        <v>#DIV/0!</v>
      </c>
      <c r="U21" s="42">
        <v>0</v>
      </c>
      <c r="V21" s="54" t="s">
        <v>153</v>
      </c>
      <c r="W21" t="s">
        <v>241</v>
      </c>
      <c r="Y21" t="s">
        <v>178</v>
      </c>
      <c r="Z21">
        <v>0</v>
      </c>
      <c r="AA21">
        <v>0</v>
      </c>
      <c r="AB21" s="55">
        <v>33766</v>
      </c>
      <c r="AD21" s="56" t="s">
        <v>134</v>
      </c>
    </row>
    <row r="22" spans="1:30">
      <c r="A22" t="s">
        <v>242</v>
      </c>
      <c r="B22" t="s">
        <v>243</v>
      </c>
      <c r="C22" t="s">
        <v>201</v>
      </c>
      <c r="D22" s="48">
        <v>43532</v>
      </c>
      <c r="E22" s="44">
        <v>151000</v>
      </c>
      <c r="F22" t="s">
        <v>33</v>
      </c>
      <c r="G22" t="s">
        <v>32</v>
      </c>
      <c r="H22" s="44">
        <v>151000</v>
      </c>
      <c r="I22" s="44">
        <v>91600</v>
      </c>
      <c r="J22" s="47">
        <v>60.662251655629142</v>
      </c>
      <c r="K22" s="44">
        <v>183262</v>
      </c>
      <c r="L22" s="44">
        <v>95138</v>
      </c>
      <c r="M22" s="44">
        <v>127400</v>
      </c>
      <c r="N22" s="46">
        <v>98</v>
      </c>
      <c r="O22" s="45">
        <v>0</v>
      </c>
      <c r="P22" s="42">
        <v>0</v>
      </c>
      <c r="Q22" s="42">
        <v>0</v>
      </c>
      <c r="R22" s="44">
        <v>970.79591836734699</v>
      </c>
      <c r="S22" s="44" t="e">
        <v>#DIV/0!</v>
      </c>
      <c r="T22" s="43" t="e">
        <v>#DIV/0!</v>
      </c>
      <c r="U22" s="42">
        <v>0</v>
      </c>
      <c r="V22" s="54" t="s">
        <v>153</v>
      </c>
      <c r="W22" t="s">
        <v>244</v>
      </c>
      <c r="Y22" t="s">
        <v>178</v>
      </c>
      <c r="Z22">
        <v>0</v>
      </c>
      <c r="AA22">
        <v>0</v>
      </c>
      <c r="AB22" s="55">
        <v>33766</v>
      </c>
      <c r="AD22" s="56" t="s">
        <v>134</v>
      </c>
    </row>
    <row r="23" spans="1:30">
      <c r="A23" t="s">
        <v>265</v>
      </c>
      <c r="B23" t="s">
        <v>266</v>
      </c>
      <c r="C23" t="s">
        <v>201</v>
      </c>
      <c r="D23" s="48">
        <v>44195</v>
      </c>
      <c r="E23" s="44">
        <v>181900</v>
      </c>
      <c r="F23" t="s">
        <v>33</v>
      </c>
      <c r="G23" t="s">
        <v>32</v>
      </c>
      <c r="H23" s="44">
        <v>181900</v>
      </c>
      <c r="I23" s="44">
        <v>90400</v>
      </c>
      <c r="J23" s="47">
        <v>49.697636063771306</v>
      </c>
      <c r="K23" s="44">
        <v>180747</v>
      </c>
      <c r="L23" s="92">
        <v>121153</v>
      </c>
      <c r="M23" s="44">
        <v>120000</v>
      </c>
      <c r="N23" s="91">
        <v>100</v>
      </c>
      <c r="O23" s="45">
        <v>0</v>
      </c>
      <c r="P23" s="42">
        <v>0</v>
      </c>
      <c r="Q23" s="42">
        <v>0</v>
      </c>
      <c r="R23" s="44">
        <v>1211.53</v>
      </c>
      <c r="S23" s="44" t="e">
        <v>#DIV/0!</v>
      </c>
      <c r="T23" s="43" t="e">
        <v>#DIV/0!</v>
      </c>
      <c r="U23" s="42">
        <v>0</v>
      </c>
      <c r="V23" s="54" t="s">
        <v>153</v>
      </c>
      <c r="W23" t="s">
        <v>267</v>
      </c>
      <c r="Y23" t="s">
        <v>178</v>
      </c>
      <c r="Z23">
        <v>0</v>
      </c>
      <c r="AA23">
        <v>0</v>
      </c>
      <c r="AB23" s="55">
        <v>33770</v>
      </c>
      <c r="AD23" s="56" t="s">
        <v>134</v>
      </c>
    </row>
    <row r="24" spans="1:30" ht="15" thickBot="1">
      <c r="D24" s="48"/>
      <c r="E24" s="44"/>
      <c r="H24" s="44"/>
      <c r="I24" s="44"/>
      <c r="J24" s="47"/>
      <c r="K24" s="44"/>
      <c r="L24" s="44">
        <f>SUM(L20:L23)</f>
        <v>506489</v>
      </c>
      <c r="M24" s="44"/>
      <c r="N24" s="46">
        <f>SUM(N20:N23)</f>
        <v>368</v>
      </c>
      <c r="O24" s="45"/>
      <c r="P24" s="42"/>
      <c r="Q24" s="42"/>
      <c r="R24" s="44"/>
      <c r="S24" s="44"/>
      <c r="T24" s="43"/>
      <c r="U24" s="42"/>
      <c r="V24" s="54"/>
      <c r="AB24" s="55"/>
      <c r="AD24" s="56"/>
    </row>
    <row r="25" spans="1:30" ht="15" thickBot="1">
      <c r="D25" s="48"/>
      <c r="E25" s="44"/>
      <c r="H25" s="44"/>
      <c r="I25" s="44"/>
      <c r="J25" s="47"/>
      <c r="K25" s="44"/>
      <c r="L25" s="44"/>
      <c r="M25" s="44"/>
      <c r="N25" s="46"/>
      <c r="O25" s="104">
        <f>L24/N24</f>
        <v>1376.328804347826</v>
      </c>
      <c r="P25" s="105" t="s">
        <v>294</v>
      </c>
      <c r="Q25" s="42"/>
      <c r="R25" s="44"/>
      <c r="S25" s="44"/>
      <c r="T25" s="43"/>
      <c r="U25" s="42"/>
      <c r="V25" s="54"/>
      <c r="AB25" s="55"/>
      <c r="AD25" s="56"/>
    </row>
    <row r="26" spans="1:30">
      <c r="D26" s="48"/>
      <c r="E26" s="44"/>
      <c r="H26" s="44"/>
      <c r="I26" s="44"/>
      <c r="J26" s="47"/>
      <c r="K26" s="44"/>
      <c r="L26" s="44"/>
      <c r="M26" s="44"/>
      <c r="N26" s="46"/>
      <c r="O26" s="45"/>
      <c r="P26" s="42"/>
      <c r="Q26" s="42"/>
      <c r="R26" s="44"/>
      <c r="S26" s="44"/>
      <c r="T26" s="43"/>
      <c r="U26" s="42"/>
      <c r="V26" s="54"/>
      <c r="AB26" s="55"/>
      <c r="AD26" s="56"/>
    </row>
    <row r="27" spans="1:30">
      <c r="D27" s="48"/>
      <c r="E27" s="44"/>
      <c r="H27" s="44"/>
      <c r="I27" s="44"/>
      <c r="J27" s="47"/>
      <c r="K27" s="44"/>
      <c r="L27" s="44"/>
      <c r="M27" s="44"/>
      <c r="N27" s="46"/>
      <c r="O27" s="45"/>
      <c r="P27" s="42"/>
      <c r="Q27" s="42"/>
      <c r="R27" s="44"/>
      <c r="S27" s="44"/>
      <c r="T27" s="43"/>
      <c r="U27" s="42"/>
      <c r="V27" s="54"/>
      <c r="AB27" s="55"/>
      <c r="AD27" s="56"/>
    </row>
    <row r="28" spans="1:30">
      <c r="D28" s="48"/>
      <c r="E28" s="44"/>
      <c r="H28" s="44"/>
      <c r="I28" s="44"/>
      <c r="J28" s="47"/>
      <c r="K28" s="44"/>
      <c r="L28" s="44"/>
      <c r="M28" s="44"/>
      <c r="N28" s="46"/>
      <c r="O28" s="45" t="s">
        <v>298</v>
      </c>
      <c r="P28" s="105" t="s">
        <v>297</v>
      </c>
      <c r="Q28" s="42"/>
      <c r="R28" s="44"/>
      <c r="S28" s="44"/>
      <c r="T28" s="43"/>
      <c r="U28" s="42"/>
      <c r="V28" s="54"/>
      <c r="AB28" s="55"/>
      <c r="AD28" s="56"/>
    </row>
    <row r="29" spans="1:30">
      <c r="D29" s="48"/>
      <c r="E29" s="44"/>
      <c r="H29" s="44"/>
      <c r="I29" s="44"/>
      <c r="J29" s="47"/>
      <c r="K29" s="44"/>
      <c r="L29" s="44"/>
      <c r="M29" s="44"/>
      <c r="N29" s="46"/>
      <c r="O29" s="45"/>
      <c r="P29" s="42"/>
      <c r="Q29" s="42"/>
      <c r="R29" s="44"/>
      <c r="S29" s="44"/>
      <c r="T29" s="43"/>
      <c r="U29" s="42"/>
      <c r="V29" s="54"/>
      <c r="AB29" s="55"/>
      <c r="AD29" s="56"/>
    </row>
    <row r="30" spans="1:30">
      <c r="A30" t="s">
        <v>245</v>
      </c>
      <c r="B30" t="s">
        <v>246</v>
      </c>
      <c r="C30" t="s">
        <v>201</v>
      </c>
      <c r="D30" s="48">
        <v>43889</v>
      </c>
      <c r="E30" s="44">
        <v>160000</v>
      </c>
      <c r="F30" t="s">
        <v>33</v>
      </c>
      <c r="G30" t="s">
        <v>32</v>
      </c>
      <c r="H30" s="44">
        <v>160000</v>
      </c>
      <c r="I30" s="44">
        <v>121900</v>
      </c>
      <c r="J30" s="47">
        <v>76.1875</v>
      </c>
      <c r="K30" s="44">
        <v>254960</v>
      </c>
      <c r="L30" s="92">
        <v>46040</v>
      </c>
      <c r="M30" s="44">
        <v>141000</v>
      </c>
      <c r="N30" s="91">
        <v>141</v>
      </c>
      <c r="O30" s="45">
        <v>0</v>
      </c>
      <c r="P30" s="42">
        <v>0</v>
      </c>
      <c r="Q30" s="42">
        <v>0</v>
      </c>
      <c r="R30" s="44">
        <v>326.52482269503548</v>
      </c>
      <c r="S30" s="44" t="e">
        <v>#DIV/0!</v>
      </c>
      <c r="T30" s="43" t="e">
        <v>#DIV/0!</v>
      </c>
      <c r="U30" s="42">
        <v>0</v>
      </c>
      <c r="V30" s="54" t="s">
        <v>153</v>
      </c>
      <c r="W30" t="s">
        <v>247</v>
      </c>
      <c r="Y30" t="s">
        <v>178</v>
      </c>
      <c r="Z30">
        <v>0</v>
      </c>
      <c r="AA30">
        <v>0</v>
      </c>
      <c r="AB30" s="55">
        <v>33766</v>
      </c>
      <c r="AD30" s="56" t="s">
        <v>134</v>
      </c>
    </row>
    <row r="31" spans="1:30" ht="15" thickBot="1">
      <c r="D31" s="48"/>
      <c r="E31" s="44"/>
      <c r="H31" s="44"/>
      <c r="I31" s="44"/>
      <c r="J31" s="47"/>
      <c r="K31" s="44"/>
      <c r="L31" s="44">
        <f>SUM(L30)</f>
        <v>46040</v>
      </c>
      <c r="M31" s="44"/>
      <c r="N31" s="46">
        <f>SUM(N30)</f>
        <v>141</v>
      </c>
      <c r="O31" s="45"/>
      <c r="P31" s="42"/>
      <c r="Q31" s="42"/>
      <c r="R31" s="44"/>
      <c r="S31" s="44"/>
      <c r="T31" s="43"/>
      <c r="U31" s="42"/>
      <c r="V31" s="54"/>
      <c r="AB31" s="55"/>
      <c r="AD31" s="56"/>
    </row>
    <row r="32" spans="1:30" ht="15" thickBot="1">
      <c r="D32" s="48"/>
      <c r="E32" s="44"/>
      <c r="H32" s="44"/>
      <c r="I32" s="44"/>
      <c r="J32" s="47"/>
      <c r="K32" s="44"/>
      <c r="L32" s="44"/>
      <c r="M32" s="44"/>
      <c r="N32" s="46"/>
      <c r="O32" s="104">
        <f>L31/N31</f>
        <v>326.52482269503548</v>
      </c>
      <c r="P32" s="105" t="s">
        <v>295</v>
      </c>
      <c r="Q32" s="42"/>
      <c r="R32" s="44"/>
      <c r="S32" s="44"/>
      <c r="T32" s="43"/>
      <c r="U32" s="42"/>
      <c r="V32" s="54"/>
      <c r="AB32" s="55"/>
      <c r="AD32" s="56"/>
    </row>
    <row r="33" spans="1:30">
      <c r="D33" s="48"/>
      <c r="E33" s="44"/>
      <c r="H33" s="44"/>
      <c r="I33" s="44"/>
      <c r="J33" s="47"/>
      <c r="K33" s="44"/>
      <c r="L33" s="44"/>
      <c r="M33" s="44"/>
      <c r="N33" s="46"/>
      <c r="O33" s="45"/>
      <c r="P33" s="42"/>
      <c r="Q33" s="42"/>
      <c r="R33" s="44"/>
      <c r="S33" s="44"/>
      <c r="T33" s="43"/>
      <c r="U33" s="42"/>
      <c r="V33" s="54"/>
      <c r="AB33" s="55"/>
      <c r="AD33" s="56"/>
    </row>
    <row r="34" spans="1:30">
      <c r="A34" t="s">
        <v>207</v>
      </c>
      <c r="B34" t="s">
        <v>208</v>
      </c>
      <c r="C34" t="s">
        <v>201</v>
      </c>
      <c r="D34" s="48">
        <v>44805</v>
      </c>
      <c r="E34" s="44">
        <v>258000</v>
      </c>
      <c r="F34" t="s">
        <v>33</v>
      </c>
      <c r="G34" t="s">
        <v>32</v>
      </c>
      <c r="H34" s="44">
        <v>258000</v>
      </c>
      <c r="I34" s="44">
        <v>131300</v>
      </c>
      <c r="J34" s="47">
        <v>50.891472868217058</v>
      </c>
      <c r="K34" s="44">
        <v>262500</v>
      </c>
      <c r="L34" s="92">
        <v>258000</v>
      </c>
      <c r="M34" s="44">
        <v>262500</v>
      </c>
      <c r="N34" s="91">
        <v>375</v>
      </c>
      <c r="O34" s="45">
        <v>0</v>
      </c>
      <c r="P34" s="42">
        <v>9</v>
      </c>
      <c r="Q34" s="42">
        <v>9</v>
      </c>
      <c r="R34" s="44">
        <v>688</v>
      </c>
      <c r="S34" s="44">
        <v>28666.666666666668</v>
      </c>
      <c r="T34" s="43">
        <v>0.6580961126415672</v>
      </c>
      <c r="U34" s="42">
        <v>0</v>
      </c>
      <c r="V34" s="54" t="s">
        <v>153</v>
      </c>
      <c r="W34" t="s">
        <v>209</v>
      </c>
      <c r="Y34" t="s">
        <v>178</v>
      </c>
      <c r="Z34">
        <v>0</v>
      </c>
      <c r="AA34">
        <v>1</v>
      </c>
      <c r="AB34" s="55">
        <v>33771</v>
      </c>
      <c r="AD34" s="56" t="s">
        <v>129</v>
      </c>
    </row>
    <row r="35" spans="1:30" ht="15" thickBot="1">
      <c r="D35" s="48"/>
      <c r="E35" s="44"/>
      <c r="H35" s="44"/>
      <c r="I35" s="44"/>
      <c r="J35" s="47"/>
      <c r="K35" s="44"/>
      <c r="L35" s="44">
        <f>SUM(L34)</f>
        <v>258000</v>
      </c>
      <c r="M35" s="44"/>
      <c r="N35" s="46">
        <f>SUM(N34)</f>
        <v>375</v>
      </c>
      <c r="O35" s="45"/>
      <c r="P35" s="42"/>
      <c r="Q35" s="42"/>
      <c r="R35" s="44"/>
      <c r="S35" s="44"/>
      <c r="T35" s="43"/>
      <c r="U35" s="42"/>
      <c r="V35" s="54"/>
      <c r="AB35" s="55"/>
      <c r="AD35" s="56"/>
    </row>
    <row r="36" spans="1:30" ht="15" thickBot="1">
      <c r="D36" s="48"/>
      <c r="E36" s="44"/>
      <c r="H36" s="44"/>
      <c r="I36" s="44"/>
      <c r="J36" s="47"/>
      <c r="K36" s="44"/>
      <c r="L36" s="44"/>
      <c r="M36" s="44"/>
      <c r="N36" s="46"/>
      <c r="O36" s="104">
        <f>L35/N35</f>
        <v>688</v>
      </c>
      <c r="P36" s="105" t="s">
        <v>296</v>
      </c>
      <c r="Q36" s="42"/>
      <c r="R36" s="44"/>
      <c r="S36" s="44"/>
      <c r="T36" s="43"/>
      <c r="U36" s="42"/>
      <c r="V36" s="54"/>
      <c r="AB36" s="55"/>
      <c r="AD36" s="56"/>
    </row>
    <row r="37" spans="1:30" ht="15" thickBot="1">
      <c r="D37" s="48"/>
      <c r="E37" s="44"/>
      <c r="H37" s="44"/>
      <c r="I37" s="44"/>
      <c r="J37" s="47"/>
      <c r="K37" s="44"/>
      <c r="L37" s="44"/>
      <c r="M37" s="44"/>
      <c r="N37" s="46"/>
      <c r="O37" s="45"/>
      <c r="P37" s="42"/>
      <c r="Q37" s="42"/>
      <c r="R37" s="44"/>
      <c r="S37" s="44"/>
      <c r="T37" s="43"/>
      <c r="U37" s="42"/>
      <c r="V37" s="54"/>
      <c r="AB37" s="55"/>
      <c r="AD37" s="56"/>
    </row>
    <row r="38" spans="1:30" ht="15" thickBot="1">
      <c r="A38" s="106"/>
      <c r="B38" s="107"/>
      <c r="C38" s="107"/>
      <c r="D38" s="108"/>
      <c r="E38" s="109"/>
      <c r="F38" s="107"/>
      <c r="G38" s="107"/>
      <c r="H38" s="109"/>
      <c r="I38" s="109"/>
      <c r="J38" s="110"/>
      <c r="K38" s="109"/>
      <c r="L38" s="109"/>
      <c r="M38" s="109"/>
      <c r="N38" s="111"/>
      <c r="O38" s="112"/>
      <c r="P38" s="113"/>
      <c r="Q38" s="113"/>
      <c r="R38" s="109"/>
      <c r="S38" s="109"/>
      <c r="T38" s="114"/>
      <c r="U38" s="113"/>
      <c r="V38" s="115"/>
      <c r="W38" s="107"/>
      <c r="X38" s="107"/>
      <c r="Y38" s="107"/>
      <c r="Z38" s="107"/>
      <c r="AA38" s="107"/>
      <c r="AB38" s="116"/>
      <c r="AC38" s="107"/>
      <c r="AD38" s="117"/>
    </row>
    <row r="39" spans="1:30" ht="15" thickBot="1">
      <c r="A39" s="119" t="s">
        <v>212</v>
      </c>
      <c r="D39" s="48"/>
      <c r="E39" s="44"/>
      <c r="H39" s="44"/>
      <c r="I39" s="44"/>
      <c r="J39" s="47"/>
      <c r="K39" s="44"/>
      <c r="L39" s="44"/>
      <c r="M39" s="44"/>
      <c r="N39" s="46"/>
      <c r="O39" s="45"/>
      <c r="P39" s="42"/>
      <c r="Q39" s="42"/>
      <c r="R39" s="44"/>
      <c r="S39" s="44"/>
      <c r="T39" s="43"/>
      <c r="U39" s="42"/>
      <c r="V39" s="54"/>
      <c r="AB39" s="55"/>
      <c r="AD39" s="56"/>
    </row>
    <row r="40" spans="1:30">
      <c r="A40" t="s">
        <v>217</v>
      </c>
      <c r="B40" t="s">
        <v>218</v>
      </c>
      <c r="C40" t="s">
        <v>212</v>
      </c>
      <c r="D40" s="48">
        <v>44412</v>
      </c>
      <c r="E40" s="44">
        <v>135000</v>
      </c>
      <c r="F40" t="s">
        <v>33</v>
      </c>
      <c r="G40" t="s">
        <v>32</v>
      </c>
      <c r="H40" s="44">
        <v>135000</v>
      </c>
      <c r="I40" s="44">
        <v>55100</v>
      </c>
      <c r="J40" s="47">
        <v>40.814814814814817</v>
      </c>
      <c r="K40" s="44">
        <v>110250</v>
      </c>
      <c r="L40" s="44">
        <v>92750</v>
      </c>
      <c r="M40" s="44">
        <v>68000</v>
      </c>
      <c r="N40" s="46">
        <v>40</v>
      </c>
      <c r="O40" s="45">
        <v>0</v>
      </c>
      <c r="P40" s="42">
        <v>0</v>
      </c>
      <c r="Q40" s="42">
        <v>0</v>
      </c>
      <c r="R40" s="44">
        <v>2318.75</v>
      </c>
      <c r="S40" s="44" t="e">
        <v>#DIV/0!</v>
      </c>
      <c r="T40" s="43" t="e">
        <v>#DIV/0!</v>
      </c>
      <c r="U40" s="42">
        <v>0</v>
      </c>
      <c r="V40" s="54" t="s">
        <v>153</v>
      </c>
      <c r="W40" t="s">
        <v>219</v>
      </c>
      <c r="Y40" t="s">
        <v>178</v>
      </c>
      <c r="Z40">
        <v>0</v>
      </c>
      <c r="AA40">
        <v>1</v>
      </c>
      <c r="AB40" s="55">
        <v>33756</v>
      </c>
      <c r="AD40" s="56" t="s">
        <v>134</v>
      </c>
    </row>
    <row r="41" spans="1:30">
      <c r="A41" t="s">
        <v>190</v>
      </c>
      <c r="B41" t="s">
        <v>191</v>
      </c>
      <c r="C41" t="s">
        <v>212</v>
      </c>
      <c r="D41" s="48">
        <v>44336</v>
      </c>
      <c r="E41" s="44">
        <v>180000</v>
      </c>
      <c r="F41" t="s">
        <v>33</v>
      </c>
      <c r="G41" t="s">
        <v>32</v>
      </c>
      <c r="H41" s="44">
        <v>180000</v>
      </c>
      <c r="I41" s="44">
        <v>67400</v>
      </c>
      <c r="J41" s="47">
        <v>37.44444444444445</v>
      </c>
      <c r="K41" s="44">
        <v>134858</v>
      </c>
      <c r="L41" s="44">
        <v>130142</v>
      </c>
      <c r="M41" s="44">
        <v>85000</v>
      </c>
      <c r="N41" s="46">
        <v>50</v>
      </c>
      <c r="O41" s="45">
        <v>0</v>
      </c>
      <c r="P41" s="42">
        <v>0</v>
      </c>
      <c r="Q41" s="42">
        <v>0</v>
      </c>
      <c r="R41" s="44">
        <v>2602.84</v>
      </c>
      <c r="S41" s="44" t="e">
        <v>#DIV/0!</v>
      </c>
      <c r="T41" s="43" t="e">
        <v>#DIV/0!</v>
      </c>
      <c r="U41" s="42">
        <v>0</v>
      </c>
      <c r="V41" s="54" t="s">
        <v>153</v>
      </c>
      <c r="W41" t="s">
        <v>192</v>
      </c>
      <c r="Y41" t="s">
        <v>178</v>
      </c>
      <c r="Z41">
        <v>1</v>
      </c>
      <c r="AA41">
        <v>0</v>
      </c>
      <c r="AB41" s="55">
        <v>33752</v>
      </c>
      <c r="AD41" s="56" t="s">
        <v>134</v>
      </c>
    </row>
    <row r="42" spans="1:30">
      <c r="A42" t="s">
        <v>193</v>
      </c>
      <c r="B42" t="s">
        <v>194</v>
      </c>
      <c r="C42" t="s">
        <v>212</v>
      </c>
      <c r="D42" s="48">
        <v>43586</v>
      </c>
      <c r="E42" s="44">
        <v>178500</v>
      </c>
      <c r="F42" t="s">
        <v>33</v>
      </c>
      <c r="G42" t="s">
        <v>32</v>
      </c>
      <c r="H42" s="44">
        <v>178500</v>
      </c>
      <c r="I42" s="44">
        <v>77500</v>
      </c>
      <c r="J42" s="47">
        <v>43.417366946778714</v>
      </c>
      <c r="K42" s="44">
        <v>155060</v>
      </c>
      <c r="L42" s="92">
        <v>108440</v>
      </c>
      <c r="M42" s="44">
        <v>85000</v>
      </c>
      <c r="N42" s="91">
        <v>50</v>
      </c>
      <c r="O42" s="45">
        <v>0</v>
      </c>
      <c r="P42" s="42">
        <v>0</v>
      </c>
      <c r="Q42" s="42">
        <v>0</v>
      </c>
      <c r="R42" s="44">
        <v>2168.8000000000002</v>
      </c>
      <c r="S42" s="44" t="e">
        <v>#DIV/0!</v>
      </c>
      <c r="T42" s="43" t="e">
        <v>#DIV/0!</v>
      </c>
      <c r="U42" s="42">
        <v>0</v>
      </c>
      <c r="V42" s="54" t="s">
        <v>153</v>
      </c>
      <c r="W42" t="s">
        <v>195</v>
      </c>
      <c r="Y42" t="s">
        <v>178</v>
      </c>
      <c r="Z42">
        <v>1</v>
      </c>
      <c r="AA42">
        <v>0</v>
      </c>
      <c r="AB42" s="55">
        <v>33752</v>
      </c>
      <c r="AD42" s="56" t="s">
        <v>134</v>
      </c>
    </row>
    <row r="43" spans="1:30" ht="15" thickBot="1">
      <c r="D43" s="48"/>
      <c r="E43" s="44"/>
      <c r="H43" s="44"/>
      <c r="I43" s="44"/>
      <c r="J43" s="47"/>
      <c r="K43" s="44"/>
      <c r="L43" s="44">
        <f>SUM(L40:L42)</f>
        <v>331332</v>
      </c>
      <c r="M43" s="44"/>
      <c r="N43" s="46">
        <f>SUM(N40:N42)</f>
        <v>140</v>
      </c>
      <c r="O43" s="45"/>
      <c r="P43" s="42"/>
      <c r="Q43" s="42"/>
      <c r="R43" s="44"/>
      <c r="S43" s="44"/>
      <c r="T43" s="43"/>
      <c r="U43" s="42"/>
      <c r="V43" s="54"/>
      <c r="AB43" s="55"/>
      <c r="AD43" s="56"/>
    </row>
    <row r="44" spans="1:30" ht="15" thickBot="1">
      <c r="D44" s="48"/>
      <c r="E44" s="44"/>
      <c r="H44" s="44"/>
      <c r="I44" s="44"/>
      <c r="J44" s="47"/>
      <c r="K44" s="44"/>
      <c r="L44" s="44"/>
      <c r="M44" s="44"/>
      <c r="N44" s="46"/>
      <c r="O44" s="120">
        <f>L43/N43</f>
        <v>2366.6571428571428</v>
      </c>
      <c r="P44" s="105" t="s">
        <v>292</v>
      </c>
      <c r="Q44" s="42"/>
      <c r="R44" s="44"/>
      <c r="S44" s="44"/>
      <c r="T44" s="43"/>
      <c r="U44" s="42"/>
      <c r="V44" s="54"/>
      <c r="AB44" s="55"/>
      <c r="AD44" s="56"/>
    </row>
    <row r="45" spans="1:30">
      <c r="D45" s="48"/>
      <c r="E45" s="44"/>
      <c r="H45" s="44"/>
      <c r="I45" s="44"/>
      <c r="J45" s="47"/>
      <c r="K45" s="44"/>
      <c r="L45" s="44"/>
      <c r="M45" s="44"/>
      <c r="N45" s="46"/>
      <c r="O45" s="45"/>
      <c r="P45" s="42"/>
      <c r="Q45" s="42"/>
      <c r="R45" s="44"/>
      <c r="S45" s="44"/>
      <c r="T45" s="43"/>
      <c r="U45" s="42"/>
      <c r="V45" s="54"/>
      <c r="AB45" s="55"/>
      <c r="AD45" s="56"/>
    </row>
    <row r="46" spans="1:30">
      <c r="D46" s="48"/>
      <c r="E46" s="44"/>
      <c r="H46" s="44"/>
      <c r="I46" s="44"/>
      <c r="J46" s="47"/>
      <c r="K46" s="44"/>
      <c r="L46" s="44"/>
      <c r="M46" s="44"/>
      <c r="N46" s="46"/>
      <c r="O46" s="45"/>
      <c r="P46" s="42"/>
      <c r="Q46" s="42"/>
      <c r="R46" s="44"/>
      <c r="S46" s="44"/>
      <c r="T46" s="43"/>
      <c r="U46" s="42"/>
      <c r="V46" s="54"/>
      <c r="AB46" s="55"/>
      <c r="AD46" s="56"/>
    </row>
    <row r="47" spans="1:30">
      <c r="A47" t="s">
        <v>284</v>
      </c>
      <c r="B47" t="s">
        <v>285</v>
      </c>
      <c r="C47" t="s">
        <v>212</v>
      </c>
      <c r="D47" s="48">
        <v>44532</v>
      </c>
      <c r="E47" s="44">
        <v>58000</v>
      </c>
      <c r="F47" t="s">
        <v>33</v>
      </c>
      <c r="G47" t="s">
        <v>32</v>
      </c>
      <c r="H47" s="44">
        <v>58000</v>
      </c>
      <c r="I47" s="44">
        <v>21300</v>
      </c>
      <c r="J47" s="47">
        <v>36.724137931034484</v>
      </c>
      <c r="K47" s="44">
        <v>42500</v>
      </c>
      <c r="L47" s="44">
        <v>58000</v>
      </c>
      <c r="M47" s="44">
        <v>42500</v>
      </c>
      <c r="N47" s="46">
        <v>51</v>
      </c>
      <c r="O47" s="45">
        <v>0</v>
      </c>
      <c r="P47" s="42">
        <v>0.17</v>
      </c>
      <c r="Q47" s="42">
        <v>0.17</v>
      </c>
      <c r="R47" s="44">
        <v>1137.2549019607843</v>
      </c>
      <c r="S47" s="44">
        <v>341176.47058823524</v>
      </c>
      <c r="T47" s="43">
        <v>7.8323340355425906</v>
      </c>
      <c r="U47" s="42">
        <v>0</v>
      </c>
      <c r="V47" s="54" t="s">
        <v>153</v>
      </c>
      <c r="W47" t="s">
        <v>286</v>
      </c>
      <c r="Y47" t="s">
        <v>178</v>
      </c>
      <c r="Z47">
        <v>1</v>
      </c>
      <c r="AA47">
        <v>0</v>
      </c>
      <c r="AB47" s="55">
        <v>33760</v>
      </c>
      <c r="AD47" s="56" t="s">
        <v>129</v>
      </c>
    </row>
    <row r="48" spans="1:30">
      <c r="A48" t="s">
        <v>187</v>
      </c>
      <c r="B48" t="s">
        <v>188</v>
      </c>
      <c r="C48" t="s">
        <v>212</v>
      </c>
      <c r="D48" s="48">
        <v>44078</v>
      </c>
      <c r="E48" s="44">
        <v>155000</v>
      </c>
      <c r="F48" t="s">
        <v>33</v>
      </c>
      <c r="G48" t="s">
        <v>32</v>
      </c>
      <c r="H48" s="44">
        <v>155000</v>
      </c>
      <c r="I48" s="44">
        <v>68100</v>
      </c>
      <c r="J48" s="47">
        <v>43.935483870967737</v>
      </c>
      <c r="K48" s="44">
        <v>136108</v>
      </c>
      <c r="L48" s="44">
        <v>90142</v>
      </c>
      <c r="M48" s="44">
        <v>71250</v>
      </c>
      <c r="N48" s="46">
        <v>60</v>
      </c>
      <c r="O48" s="45">
        <v>0</v>
      </c>
      <c r="P48" s="42">
        <v>0.14099999999999999</v>
      </c>
      <c r="Q48" s="42">
        <v>0.14099999999999999</v>
      </c>
      <c r="R48" s="44">
        <v>1502.3666666666666</v>
      </c>
      <c r="S48" s="44">
        <v>639304.96453900717</v>
      </c>
      <c r="T48" s="43">
        <v>14.676422510078218</v>
      </c>
      <c r="U48" s="42">
        <v>0</v>
      </c>
      <c r="V48" s="54" t="s">
        <v>153</v>
      </c>
      <c r="W48" t="s">
        <v>189</v>
      </c>
      <c r="Y48" t="s">
        <v>178</v>
      </c>
      <c r="Z48">
        <v>1</v>
      </c>
      <c r="AA48">
        <v>0</v>
      </c>
      <c r="AB48" s="55">
        <v>33752</v>
      </c>
      <c r="AD48" s="56" t="s">
        <v>134</v>
      </c>
    </row>
    <row r="49" spans="1:30">
      <c r="A49" t="s">
        <v>214</v>
      </c>
      <c r="B49" t="s">
        <v>215</v>
      </c>
      <c r="C49" t="s">
        <v>212</v>
      </c>
      <c r="D49" s="48">
        <v>44116</v>
      </c>
      <c r="E49" s="44">
        <v>440000</v>
      </c>
      <c r="F49" t="s">
        <v>33</v>
      </c>
      <c r="G49" t="s">
        <v>32</v>
      </c>
      <c r="H49" s="44">
        <v>440000</v>
      </c>
      <c r="I49" s="44">
        <v>180200</v>
      </c>
      <c r="J49" s="47">
        <v>40.954545454545453</v>
      </c>
      <c r="K49" s="44">
        <v>360452</v>
      </c>
      <c r="L49" s="44">
        <v>145048</v>
      </c>
      <c r="M49" s="44">
        <v>85500</v>
      </c>
      <c r="N49" s="46">
        <v>60</v>
      </c>
      <c r="O49" s="45">
        <v>0</v>
      </c>
      <c r="P49" s="42">
        <v>0</v>
      </c>
      <c r="Q49" s="42">
        <v>0</v>
      </c>
      <c r="R49" s="44">
        <v>2750.8</v>
      </c>
      <c r="S49" s="44" t="e">
        <v>#DIV/0!</v>
      </c>
      <c r="T49" s="43" t="e">
        <v>#DIV/0!</v>
      </c>
      <c r="U49" s="42">
        <v>0</v>
      </c>
      <c r="V49" s="54" t="s">
        <v>153</v>
      </c>
      <c r="W49" t="s">
        <v>216</v>
      </c>
      <c r="Y49" t="s">
        <v>178</v>
      </c>
      <c r="Z49">
        <v>0</v>
      </c>
      <c r="AA49">
        <v>1</v>
      </c>
      <c r="AB49" s="55">
        <v>33756</v>
      </c>
      <c r="AD49" s="56" t="s">
        <v>134</v>
      </c>
    </row>
    <row r="50" spans="1:30">
      <c r="A50" t="s">
        <v>220</v>
      </c>
      <c r="B50" t="s">
        <v>221</v>
      </c>
      <c r="C50" t="s">
        <v>212</v>
      </c>
      <c r="D50" s="48">
        <v>44333</v>
      </c>
      <c r="E50" s="44">
        <v>130000</v>
      </c>
      <c r="F50" t="s">
        <v>33</v>
      </c>
      <c r="G50" t="s">
        <v>32</v>
      </c>
      <c r="H50" s="44">
        <v>130000</v>
      </c>
      <c r="I50" s="44">
        <v>65300</v>
      </c>
      <c r="J50" s="47">
        <v>50.230769230769234</v>
      </c>
      <c r="K50" s="44">
        <v>130575</v>
      </c>
      <c r="L50" s="92">
        <v>84925</v>
      </c>
      <c r="M50" s="44">
        <v>85500</v>
      </c>
      <c r="N50" s="91">
        <v>60</v>
      </c>
      <c r="O50" s="45">
        <v>0</v>
      </c>
      <c r="P50" s="42">
        <v>0</v>
      </c>
      <c r="Q50" s="42">
        <v>0</v>
      </c>
      <c r="R50" s="44">
        <v>1415.4166666666667</v>
      </c>
      <c r="S50" s="44" t="e">
        <v>#DIV/0!</v>
      </c>
      <c r="T50" s="43" t="e">
        <v>#DIV/0!</v>
      </c>
      <c r="U50" s="42">
        <v>0</v>
      </c>
      <c r="V50" s="54" t="s">
        <v>153</v>
      </c>
      <c r="W50" t="s">
        <v>222</v>
      </c>
      <c r="Y50" t="s">
        <v>178</v>
      </c>
      <c r="Z50">
        <v>0</v>
      </c>
      <c r="AA50">
        <v>1</v>
      </c>
      <c r="AB50" s="55">
        <v>33756</v>
      </c>
      <c r="AD50" s="56" t="s">
        <v>134</v>
      </c>
    </row>
    <row r="51" spans="1:30" ht="15" thickBot="1">
      <c r="D51" s="48"/>
      <c r="E51" s="44"/>
      <c r="H51" s="44"/>
      <c r="I51" s="44"/>
      <c r="J51" s="47"/>
      <c r="K51" s="44"/>
      <c r="L51" s="44">
        <f>SUM(L47:L50)</f>
        <v>378115</v>
      </c>
      <c r="M51" s="44"/>
      <c r="N51" s="46">
        <f>SUM(N47:N50)</f>
        <v>231</v>
      </c>
      <c r="O51" s="45"/>
      <c r="P51" s="42"/>
      <c r="Q51" s="42"/>
      <c r="R51" s="44"/>
      <c r="S51" s="44"/>
      <c r="T51" s="43"/>
      <c r="U51" s="42"/>
      <c r="V51" s="54"/>
      <c r="AB51" s="55"/>
      <c r="AD51" s="56"/>
    </row>
    <row r="52" spans="1:30" ht="15" thickBot="1">
      <c r="D52" s="48"/>
      <c r="E52" s="44"/>
      <c r="H52" s="44"/>
      <c r="I52" s="44"/>
      <c r="J52" s="47"/>
      <c r="K52" s="44"/>
      <c r="L52" s="44"/>
      <c r="M52" s="44"/>
      <c r="N52" s="46"/>
      <c r="O52" s="120">
        <f>L51/N51</f>
        <v>1636.861471861472</v>
      </c>
      <c r="P52" s="105" t="s">
        <v>293</v>
      </c>
      <c r="Q52" s="42"/>
      <c r="R52" s="44"/>
      <c r="S52" s="44"/>
      <c r="T52" s="43"/>
      <c r="U52" s="42"/>
      <c r="V52" s="54"/>
      <c r="AB52" s="55"/>
      <c r="AD52" s="56"/>
    </row>
    <row r="53" spans="1:30">
      <c r="D53" s="48"/>
      <c r="E53" s="44"/>
      <c r="H53" s="44"/>
      <c r="I53" s="44"/>
      <c r="J53" s="47"/>
      <c r="K53" s="44"/>
      <c r="L53" s="44"/>
      <c r="M53" s="44"/>
      <c r="N53" s="46"/>
      <c r="O53" s="45"/>
      <c r="P53" s="42"/>
      <c r="Q53" s="42"/>
      <c r="R53" s="44"/>
      <c r="S53" s="44"/>
      <c r="T53" s="43"/>
      <c r="U53" s="42"/>
      <c r="V53" s="54"/>
      <c r="AB53" s="55"/>
      <c r="AD53" s="56"/>
    </row>
    <row r="54" spans="1:30">
      <c r="A54" t="s">
        <v>254</v>
      </c>
      <c r="B54" t="s">
        <v>255</v>
      </c>
      <c r="C54" t="s">
        <v>212</v>
      </c>
      <c r="D54" s="48">
        <v>44494</v>
      </c>
      <c r="E54" s="44">
        <v>260000</v>
      </c>
      <c r="F54" t="s">
        <v>33</v>
      </c>
      <c r="G54" t="s">
        <v>32</v>
      </c>
      <c r="H54" s="44">
        <v>260000</v>
      </c>
      <c r="I54" s="44">
        <v>82600</v>
      </c>
      <c r="J54" s="47">
        <v>31.769230769230774</v>
      </c>
      <c r="K54" s="44">
        <v>165133</v>
      </c>
      <c r="L54" s="92">
        <v>188867</v>
      </c>
      <c r="M54" s="44">
        <v>94000</v>
      </c>
      <c r="N54" s="91">
        <v>80</v>
      </c>
      <c r="O54" s="45">
        <v>0</v>
      </c>
      <c r="P54" s="42">
        <v>0</v>
      </c>
      <c r="Q54" s="42">
        <v>0</v>
      </c>
      <c r="R54" s="44">
        <v>2360.8375000000001</v>
      </c>
      <c r="S54" s="44" t="e">
        <v>#DIV/0!</v>
      </c>
      <c r="T54" s="43" t="e">
        <v>#DIV/0!</v>
      </c>
      <c r="U54" s="42">
        <v>0</v>
      </c>
      <c r="V54" s="54" t="s">
        <v>153</v>
      </c>
      <c r="W54" t="s">
        <v>256</v>
      </c>
      <c r="Y54" t="s">
        <v>178</v>
      </c>
      <c r="Z54">
        <v>1</v>
      </c>
      <c r="AA54">
        <v>0</v>
      </c>
      <c r="AB54" s="55">
        <v>33745</v>
      </c>
      <c r="AD54" s="56" t="s">
        <v>134</v>
      </c>
    </row>
    <row r="55" spans="1:30" ht="15" thickBot="1">
      <c r="D55" s="48"/>
      <c r="E55" s="44"/>
      <c r="H55" s="44"/>
      <c r="I55" s="44"/>
      <c r="J55" s="47"/>
      <c r="K55" s="44"/>
      <c r="L55" s="44">
        <f>SUM(L54)</f>
        <v>188867</v>
      </c>
      <c r="M55" s="44"/>
      <c r="N55" s="46">
        <f>SUM(N54)</f>
        <v>80</v>
      </c>
      <c r="O55" s="45"/>
      <c r="P55" s="42"/>
      <c r="Q55" s="42"/>
      <c r="R55" s="44"/>
      <c r="S55" s="44"/>
      <c r="T55" s="43"/>
      <c r="U55" s="42"/>
      <c r="V55" s="54"/>
      <c r="AB55" s="55"/>
      <c r="AD55" s="56"/>
    </row>
    <row r="56" spans="1:30" ht="15" thickBot="1">
      <c r="D56" s="48"/>
      <c r="E56" s="44"/>
      <c r="H56" s="44"/>
      <c r="I56" s="44"/>
      <c r="J56" s="47"/>
      <c r="K56" s="44"/>
      <c r="L56" s="44"/>
      <c r="M56" s="44"/>
      <c r="N56" s="46"/>
      <c r="O56" s="120">
        <f>L55/N55</f>
        <v>2360.8375000000001</v>
      </c>
      <c r="P56" s="105" t="s">
        <v>294</v>
      </c>
      <c r="Q56" s="42"/>
      <c r="R56" s="44"/>
      <c r="S56" s="44"/>
      <c r="T56" s="43"/>
      <c r="U56" s="42"/>
      <c r="V56" s="54"/>
      <c r="AB56" s="55"/>
      <c r="AD56" s="56"/>
    </row>
    <row r="57" spans="1:30">
      <c r="D57" s="48"/>
      <c r="E57" s="44"/>
      <c r="H57" s="44"/>
      <c r="I57" s="44"/>
      <c r="J57" s="47"/>
      <c r="K57" s="44"/>
      <c r="L57" s="44"/>
      <c r="M57" s="44"/>
      <c r="N57" s="46"/>
      <c r="O57" s="45"/>
      <c r="P57" s="42"/>
      <c r="Q57" s="42"/>
      <c r="R57" s="44"/>
      <c r="S57" s="44"/>
      <c r="T57" s="43"/>
      <c r="U57" s="42"/>
      <c r="V57" s="54"/>
      <c r="AB57" s="55"/>
      <c r="AD57" s="56"/>
    </row>
    <row r="58" spans="1:30" ht="15" thickBot="1">
      <c r="A58" s="121" t="s">
        <v>303</v>
      </c>
      <c r="D58" s="48"/>
      <c r="E58" s="44"/>
      <c r="H58" s="44"/>
      <c r="I58" s="44"/>
      <c r="J58" s="47"/>
      <c r="K58" s="44"/>
      <c r="L58" s="44"/>
      <c r="M58" s="44"/>
      <c r="N58" s="46"/>
      <c r="O58" s="45"/>
      <c r="P58" s="42"/>
      <c r="Q58" s="42"/>
      <c r="R58" s="44"/>
      <c r="S58" s="44"/>
      <c r="T58" s="43"/>
      <c r="U58" s="42"/>
      <c r="V58" s="54"/>
      <c r="AB58" s="55"/>
      <c r="AD58" s="56"/>
    </row>
    <row r="59" spans="1:30" ht="15" thickBot="1">
      <c r="D59" s="48"/>
      <c r="E59" s="44"/>
      <c r="H59" s="44"/>
      <c r="I59" s="44"/>
      <c r="J59" s="47"/>
      <c r="K59" s="44"/>
      <c r="L59" s="44"/>
      <c r="M59" s="44"/>
      <c r="N59" s="46"/>
      <c r="O59" s="120" t="s">
        <v>298</v>
      </c>
      <c r="P59" s="105" t="s">
        <v>297</v>
      </c>
      <c r="Q59" s="42"/>
      <c r="R59" s="44"/>
      <c r="S59" s="44"/>
      <c r="T59" s="43"/>
      <c r="U59" s="42"/>
      <c r="V59" s="54"/>
      <c r="AB59" s="55"/>
      <c r="AD59" s="56"/>
    </row>
    <row r="60" spans="1:30">
      <c r="D60" s="48"/>
      <c r="E60" s="44"/>
      <c r="H60" s="44"/>
      <c r="I60" s="44"/>
      <c r="J60" s="47"/>
      <c r="K60" s="44"/>
      <c r="L60" s="44"/>
      <c r="M60" s="44"/>
      <c r="N60" s="46"/>
      <c r="O60" s="45"/>
      <c r="P60" s="42"/>
      <c r="Q60" s="42"/>
      <c r="R60" s="44"/>
      <c r="S60" s="44"/>
      <c r="T60" s="43"/>
      <c r="U60" s="42"/>
      <c r="V60" s="54"/>
      <c r="AB60" s="55"/>
      <c r="AD60" s="56"/>
    </row>
    <row r="61" spans="1:30">
      <c r="D61" s="48"/>
      <c r="E61" s="44"/>
      <c r="H61" s="44"/>
      <c r="I61" s="44"/>
      <c r="J61" s="47"/>
      <c r="K61" s="44"/>
      <c r="L61" s="44"/>
      <c r="M61" s="44"/>
      <c r="N61" s="46"/>
      <c r="O61" s="45"/>
      <c r="P61" s="42"/>
      <c r="Q61" s="42"/>
      <c r="R61" s="44"/>
      <c r="S61" s="44"/>
      <c r="T61" s="43"/>
      <c r="U61" s="42"/>
      <c r="V61" s="54"/>
      <c r="AB61" s="55"/>
      <c r="AD61" s="56"/>
    </row>
    <row r="62" spans="1:30">
      <c r="D62" s="48"/>
      <c r="E62" s="44"/>
      <c r="H62" s="44"/>
      <c r="I62" s="44"/>
      <c r="J62" s="47"/>
      <c r="K62" s="44"/>
      <c r="L62" s="44"/>
      <c r="M62" s="44"/>
      <c r="N62" s="46"/>
      <c r="O62" s="45"/>
      <c r="P62" s="42"/>
      <c r="Q62" s="42"/>
      <c r="R62" s="44"/>
      <c r="S62" s="44"/>
      <c r="T62" s="43"/>
      <c r="U62" s="42"/>
      <c r="V62" s="54"/>
      <c r="AB62" s="55"/>
      <c r="AD62" s="56"/>
    </row>
    <row r="63" spans="1:30">
      <c r="A63" t="s">
        <v>210</v>
      </c>
      <c r="B63" t="s">
        <v>211</v>
      </c>
      <c r="C63" t="s">
        <v>212</v>
      </c>
      <c r="D63" s="48">
        <v>44503</v>
      </c>
      <c r="E63" s="44">
        <v>351000</v>
      </c>
      <c r="F63" t="s">
        <v>33</v>
      </c>
      <c r="G63" t="s">
        <v>32</v>
      </c>
      <c r="H63" s="44">
        <v>351000</v>
      </c>
      <c r="I63" s="44">
        <v>150400</v>
      </c>
      <c r="J63" s="47">
        <v>42.849002849002851</v>
      </c>
      <c r="K63" s="44">
        <v>300742</v>
      </c>
      <c r="L63" s="92">
        <v>162708</v>
      </c>
      <c r="M63" s="44">
        <v>112450</v>
      </c>
      <c r="N63" s="91">
        <v>130</v>
      </c>
      <c r="O63" s="45">
        <v>0</v>
      </c>
      <c r="P63" s="42">
        <v>0</v>
      </c>
      <c r="Q63" s="42">
        <v>0</v>
      </c>
      <c r="R63" s="44">
        <v>1251.5999999999999</v>
      </c>
      <c r="S63" s="44" t="e">
        <v>#DIV/0!</v>
      </c>
      <c r="T63" s="43" t="e">
        <v>#DIV/0!</v>
      </c>
      <c r="U63" s="42">
        <v>0</v>
      </c>
      <c r="V63" s="54" t="s">
        <v>153</v>
      </c>
      <c r="W63" t="s">
        <v>213</v>
      </c>
      <c r="Y63" t="s">
        <v>178</v>
      </c>
      <c r="Z63">
        <v>0</v>
      </c>
      <c r="AA63">
        <v>1</v>
      </c>
      <c r="AB63" s="55">
        <v>33756</v>
      </c>
      <c r="AD63" s="56" t="s">
        <v>134</v>
      </c>
    </row>
    <row r="64" spans="1:30" ht="15" thickBot="1">
      <c r="D64" s="48"/>
      <c r="E64" s="44"/>
      <c r="H64" s="44"/>
      <c r="I64" s="44"/>
      <c r="J64" s="47"/>
      <c r="K64" s="44"/>
      <c r="L64" s="44">
        <f>SUM(L63)</f>
        <v>162708</v>
      </c>
      <c r="M64" s="44"/>
      <c r="N64" s="46">
        <f>SUM(N63)</f>
        <v>130</v>
      </c>
      <c r="O64" s="45"/>
      <c r="P64" s="42"/>
      <c r="Q64" s="42"/>
      <c r="R64" s="44"/>
      <c r="S64" s="44"/>
      <c r="T64" s="43"/>
      <c r="U64" s="42"/>
      <c r="V64" s="54"/>
      <c r="AB64" s="55"/>
      <c r="AD64" s="56"/>
    </row>
    <row r="65" spans="1:30" ht="15" thickBot="1">
      <c r="D65" s="48"/>
      <c r="E65" s="44"/>
      <c r="H65" s="44"/>
      <c r="I65" s="44"/>
      <c r="J65" s="47"/>
      <c r="K65" s="44"/>
      <c r="L65" s="44"/>
      <c r="M65" s="44"/>
      <c r="N65" s="46"/>
      <c r="O65" s="120">
        <f>L64/N64</f>
        <v>1251.5999999999999</v>
      </c>
      <c r="P65" s="105" t="s">
        <v>295</v>
      </c>
      <c r="Q65" s="42"/>
      <c r="R65" s="44"/>
      <c r="S65" s="44"/>
      <c r="T65" s="43"/>
      <c r="U65" s="42"/>
      <c r="V65" s="54"/>
      <c r="AB65" s="55"/>
      <c r="AD65" s="56"/>
    </row>
    <row r="66" spans="1:30" ht="15" thickBot="1">
      <c r="D66" s="48"/>
      <c r="E66" s="44"/>
      <c r="H66" s="44"/>
      <c r="I66" s="44"/>
      <c r="J66" s="47"/>
      <c r="K66" s="44"/>
      <c r="L66" s="44"/>
      <c r="M66" s="44"/>
      <c r="N66" s="46"/>
      <c r="O66" s="45"/>
      <c r="P66" s="42"/>
      <c r="Q66" s="42"/>
      <c r="R66" s="44"/>
      <c r="S66" s="44"/>
      <c r="T66" s="43"/>
      <c r="U66" s="42"/>
      <c r="V66" s="54"/>
      <c r="AB66" s="55"/>
      <c r="AD66" s="56"/>
    </row>
    <row r="67" spans="1:30" ht="15" thickBot="1">
      <c r="D67" s="48"/>
      <c r="E67" s="44"/>
      <c r="H67" s="44"/>
      <c r="I67" s="44"/>
      <c r="J67" s="47"/>
      <c r="K67" s="44"/>
      <c r="L67" s="44"/>
      <c r="M67" s="44"/>
      <c r="N67" s="46"/>
      <c r="O67" s="120" t="s">
        <v>298</v>
      </c>
      <c r="P67" s="105" t="s">
        <v>299</v>
      </c>
      <c r="Q67" s="42"/>
      <c r="R67" s="44"/>
      <c r="S67" s="44"/>
      <c r="T67" s="43"/>
      <c r="U67" s="42"/>
      <c r="V67" s="54"/>
      <c r="AB67" s="55"/>
      <c r="AD67" s="56"/>
    </row>
    <row r="68" spans="1:30" ht="15" thickBot="1">
      <c r="D68" s="48"/>
      <c r="E68" s="44"/>
      <c r="H68" s="44"/>
      <c r="I68" s="44"/>
      <c r="J68" s="47"/>
      <c r="K68" s="44"/>
      <c r="L68" s="44"/>
      <c r="M68" s="44"/>
      <c r="N68" s="46"/>
      <c r="O68" s="120" t="s">
        <v>298</v>
      </c>
      <c r="P68" s="105" t="s">
        <v>300</v>
      </c>
      <c r="Q68" s="42"/>
      <c r="R68" s="44"/>
      <c r="S68" s="44"/>
      <c r="T68" s="43"/>
      <c r="U68" s="42"/>
      <c r="V68" s="54"/>
      <c r="AB68" s="55"/>
      <c r="AD68" s="56"/>
    </row>
    <row r="69" spans="1:30">
      <c r="D69" s="48"/>
      <c r="E69" s="44"/>
      <c r="H69" s="44"/>
      <c r="I69" s="44"/>
      <c r="J69" s="47"/>
      <c r="K69" s="44"/>
      <c r="L69" s="44"/>
      <c r="M69" s="44"/>
      <c r="N69" s="46"/>
      <c r="O69" s="45"/>
      <c r="P69" s="42"/>
      <c r="Q69" s="42"/>
      <c r="R69" s="44"/>
      <c r="S69" s="44"/>
      <c r="T69" s="43"/>
      <c r="U69" s="42"/>
      <c r="V69" s="54"/>
      <c r="AB69" s="55"/>
      <c r="AD69" s="56"/>
    </row>
    <row r="70" spans="1:30">
      <c r="A70" t="s">
        <v>196</v>
      </c>
      <c r="B70" t="s">
        <v>197</v>
      </c>
      <c r="C70" t="s">
        <v>212</v>
      </c>
      <c r="D70" s="48">
        <v>44741</v>
      </c>
      <c r="E70" s="44">
        <v>217500</v>
      </c>
      <c r="F70" t="s">
        <v>33</v>
      </c>
      <c r="G70" t="s">
        <v>32</v>
      </c>
      <c r="H70" s="44">
        <v>217500</v>
      </c>
      <c r="I70" s="44">
        <v>94900</v>
      </c>
      <c r="J70" s="47">
        <v>43.632183908045981</v>
      </c>
      <c r="K70" s="44">
        <v>189750</v>
      </c>
      <c r="L70" s="92">
        <v>217500</v>
      </c>
      <c r="M70" s="44">
        <v>189750</v>
      </c>
      <c r="N70" s="91">
        <v>253</v>
      </c>
      <c r="O70" s="45">
        <v>0</v>
      </c>
      <c r="P70" s="42">
        <v>6.5</v>
      </c>
      <c r="Q70" s="42">
        <v>6.5</v>
      </c>
      <c r="R70" s="44">
        <v>859.68379446640313</v>
      </c>
      <c r="S70" s="44">
        <v>33461.538461538461</v>
      </c>
      <c r="T70" s="43">
        <v>0.76817122271667726</v>
      </c>
      <c r="U70" s="42">
        <v>0</v>
      </c>
      <c r="V70" s="54" t="s">
        <v>153</v>
      </c>
      <c r="W70" t="s">
        <v>198</v>
      </c>
      <c r="Y70" t="s">
        <v>178</v>
      </c>
      <c r="Z70">
        <v>1</v>
      </c>
      <c r="AA70">
        <v>0</v>
      </c>
      <c r="AB70" s="55">
        <v>33752</v>
      </c>
      <c r="AD70" s="56" t="s">
        <v>129</v>
      </c>
    </row>
    <row r="71" spans="1:30" ht="15" thickBot="1">
      <c r="D71" s="48"/>
      <c r="E71" s="44"/>
      <c r="H71" s="44"/>
      <c r="I71" s="44"/>
      <c r="J71" s="47"/>
      <c r="K71" s="44"/>
      <c r="L71" s="44">
        <f>SUM(L70)</f>
        <v>217500</v>
      </c>
      <c r="M71" s="44"/>
      <c r="N71" s="46">
        <f>SUM(N70)</f>
        <v>253</v>
      </c>
      <c r="O71" s="45"/>
      <c r="P71" s="42"/>
      <c r="Q71" s="42"/>
      <c r="R71" s="44"/>
      <c r="S71" s="44"/>
      <c r="T71" s="43"/>
      <c r="U71" s="42"/>
      <c r="V71" s="54"/>
      <c r="AB71" s="55"/>
      <c r="AD71" s="56"/>
    </row>
    <row r="72" spans="1:30" ht="15" thickBot="1">
      <c r="D72" s="48"/>
      <c r="E72" s="44"/>
      <c r="H72" s="44"/>
      <c r="I72" s="44"/>
      <c r="J72" s="47"/>
      <c r="K72" s="44"/>
      <c r="L72" s="44"/>
      <c r="M72" s="44"/>
      <c r="N72" s="46"/>
      <c r="O72" s="120">
        <f>L71/N71</f>
        <v>859.68379446640313</v>
      </c>
      <c r="P72" s="105" t="s">
        <v>301</v>
      </c>
      <c r="Q72" s="42"/>
      <c r="R72" s="44"/>
      <c r="S72" s="44"/>
      <c r="T72" s="43"/>
      <c r="U72" s="42"/>
      <c r="V72" s="54"/>
      <c r="AB72" s="55"/>
      <c r="AD72" s="56"/>
    </row>
    <row r="73" spans="1:30">
      <c r="D73" s="48"/>
      <c r="E73" s="44"/>
      <c r="H73" s="44"/>
      <c r="I73" s="44"/>
      <c r="J73" s="47"/>
      <c r="K73" s="44"/>
      <c r="L73" s="44"/>
      <c r="M73" s="44"/>
      <c r="N73" s="46"/>
      <c r="O73" s="45"/>
      <c r="P73" s="42"/>
      <c r="Q73" s="42"/>
      <c r="R73" s="44"/>
      <c r="S73" s="44"/>
      <c r="T73" s="43"/>
      <c r="U73" s="42"/>
      <c r="V73" s="54"/>
      <c r="AB73" s="55"/>
      <c r="AD73" s="56"/>
    </row>
    <row r="74" spans="1:30">
      <c r="A74" t="s">
        <v>185</v>
      </c>
      <c r="B74" t="s">
        <v>123</v>
      </c>
      <c r="C74" t="s">
        <v>291</v>
      </c>
      <c r="D74" s="48">
        <v>44116</v>
      </c>
      <c r="E74" s="44">
        <v>20000</v>
      </c>
      <c r="F74" t="s">
        <v>33</v>
      </c>
      <c r="G74" t="s">
        <v>32</v>
      </c>
      <c r="H74" s="44">
        <v>20000</v>
      </c>
      <c r="I74" s="44">
        <v>26400</v>
      </c>
      <c r="J74" s="47">
        <v>132</v>
      </c>
      <c r="K74" s="44">
        <v>52837</v>
      </c>
      <c r="L74" s="92">
        <v>-6917</v>
      </c>
      <c r="M74" s="44">
        <v>25920</v>
      </c>
      <c r="N74" s="91">
        <v>81</v>
      </c>
      <c r="O74" s="45">
        <v>0</v>
      </c>
      <c r="P74" s="42">
        <v>2.2999999999999998</v>
      </c>
      <c r="Q74" s="42">
        <v>2.33</v>
      </c>
      <c r="R74" s="44">
        <v>-85.395061728395063</v>
      </c>
      <c r="S74" s="44">
        <v>-3007.3913043478265</v>
      </c>
      <c r="T74" s="43">
        <v>-6.9040204415698497E-2</v>
      </c>
      <c r="U74" s="42">
        <v>0</v>
      </c>
      <c r="V74" s="54" t="s">
        <v>125</v>
      </c>
      <c r="W74" t="s">
        <v>186</v>
      </c>
      <c r="Y74" t="s">
        <v>178</v>
      </c>
      <c r="Z74">
        <v>0</v>
      </c>
      <c r="AA74">
        <v>0</v>
      </c>
      <c r="AB74" t="s">
        <v>34</v>
      </c>
      <c r="AD74" s="56" t="s">
        <v>134</v>
      </c>
    </row>
    <row r="75" spans="1:30" ht="15" thickBot="1">
      <c r="D75" s="48"/>
      <c r="E75" s="44"/>
      <c r="H75" s="44"/>
      <c r="I75" s="44"/>
      <c r="J75" s="47"/>
      <c r="K75" s="44"/>
      <c r="L75" s="44">
        <f>SUM(L74)</f>
        <v>-6917</v>
      </c>
      <c r="M75" s="44"/>
      <c r="N75" s="46">
        <f>SUM(N74)</f>
        <v>81</v>
      </c>
      <c r="O75" s="45"/>
      <c r="P75" s="42"/>
      <c r="Q75" s="42"/>
      <c r="R75" s="44"/>
      <c r="S75" s="44"/>
      <c r="T75" s="43"/>
      <c r="U75" s="42"/>
      <c r="V75" s="54"/>
      <c r="AB75" s="55"/>
      <c r="AD75" s="56"/>
    </row>
    <row r="76" spans="1:30" ht="15" thickBot="1">
      <c r="D76" s="48"/>
      <c r="E76" s="44"/>
      <c r="H76" s="44"/>
      <c r="I76" s="44"/>
      <c r="J76" s="47"/>
      <c r="K76" s="44"/>
      <c r="L76" s="44"/>
      <c r="M76" s="44"/>
      <c r="N76" s="46"/>
      <c r="O76" s="120">
        <f>L75/N75</f>
        <v>-85.395061728395063</v>
      </c>
      <c r="P76" s="105" t="s">
        <v>302</v>
      </c>
      <c r="Q76" s="42"/>
      <c r="R76" s="44"/>
      <c r="S76" s="44"/>
      <c r="T76" s="43"/>
      <c r="U76" s="42"/>
      <c r="V76" s="54"/>
      <c r="AB76" s="55"/>
      <c r="AD76" s="56"/>
    </row>
    <row r="77" spans="1:30">
      <c r="D77" s="48"/>
      <c r="E77" s="44"/>
      <c r="H77" s="44"/>
      <c r="I77" s="44"/>
      <c r="J77" s="47"/>
      <c r="K77" s="44"/>
      <c r="L77" s="44"/>
      <c r="M77" s="44"/>
      <c r="N77" s="46"/>
      <c r="O77" s="45"/>
      <c r="P77" s="42"/>
      <c r="Q77" s="42"/>
      <c r="R77" s="44"/>
      <c r="S77" s="44"/>
      <c r="T77" s="43"/>
      <c r="U77" s="42"/>
      <c r="V77" s="54"/>
      <c r="AB77" s="55"/>
      <c r="AD77" s="56"/>
    </row>
    <row r="78" spans="1:30">
      <c r="D78" s="48"/>
      <c r="E78" s="44"/>
      <c r="H78" s="44"/>
      <c r="I78" s="44"/>
      <c r="J78" s="47"/>
      <c r="K78" s="44"/>
      <c r="L78" s="44"/>
      <c r="M78" s="44"/>
      <c r="N78" s="46"/>
      <c r="O78" s="45"/>
      <c r="P78" s="42"/>
      <c r="Q78" s="42"/>
      <c r="R78" s="44"/>
      <c r="S78" s="44"/>
      <c r="T78" s="43"/>
      <c r="U78" s="42"/>
      <c r="V78" s="54"/>
      <c r="AB78" s="55"/>
      <c r="AD78" s="56"/>
    </row>
    <row r="79" spans="1:30">
      <c r="D79" s="48"/>
      <c r="E79" s="44"/>
      <c r="H79" s="44"/>
      <c r="I79" s="44"/>
      <c r="J79" s="47"/>
      <c r="K79" s="44"/>
      <c r="L79" s="44"/>
      <c r="M79" s="44"/>
      <c r="N79" s="46"/>
      <c r="O79" s="45"/>
      <c r="P79" s="42"/>
      <c r="Q79" s="42"/>
      <c r="R79" s="44"/>
      <c r="S79" s="44"/>
      <c r="T79" s="43"/>
      <c r="U79" s="42"/>
      <c r="V79" s="54"/>
      <c r="AB79" s="55"/>
      <c r="AD79" s="56"/>
    </row>
    <row r="80" spans="1:30">
      <c r="A80" t="s">
        <v>287</v>
      </c>
      <c r="B80" t="s">
        <v>288</v>
      </c>
      <c r="C80" t="s">
        <v>289</v>
      </c>
      <c r="D80" s="48">
        <v>44586</v>
      </c>
      <c r="E80" s="44">
        <v>122300</v>
      </c>
      <c r="F80" t="s">
        <v>33</v>
      </c>
      <c r="G80" t="s">
        <v>32</v>
      </c>
      <c r="H80" s="44">
        <v>122300</v>
      </c>
      <c r="I80" s="44">
        <v>49600</v>
      </c>
      <c r="J80" s="47">
        <v>40.556009811937862</v>
      </c>
      <c r="K80" s="44">
        <v>99267</v>
      </c>
      <c r="L80" s="44">
        <v>52223</v>
      </c>
      <c r="M80" s="44">
        <v>29190</v>
      </c>
      <c r="N80" s="46">
        <v>0</v>
      </c>
      <c r="O80" s="45">
        <v>0</v>
      </c>
      <c r="P80" s="42">
        <v>0</v>
      </c>
      <c r="Q80" s="42">
        <v>0</v>
      </c>
      <c r="R80" s="44" t="e">
        <v>#DIV/0!</v>
      </c>
      <c r="S80" s="44" t="e">
        <v>#DIV/0!</v>
      </c>
      <c r="T80" s="43" t="e">
        <v>#DIV/0!</v>
      </c>
      <c r="U80" s="42">
        <v>0</v>
      </c>
      <c r="V80" s="54" t="s">
        <v>153</v>
      </c>
      <c r="W80" t="s">
        <v>290</v>
      </c>
      <c r="Y80" t="s">
        <v>178</v>
      </c>
      <c r="Z80">
        <v>1</v>
      </c>
      <c r="AA80">
        <v>0</v>
      </c>
      <c r="AB80" s="55">
        <v>33695</v>
      </c>
      <c r="AD80" s="56" t="s">
        <v>134</v>
      </c>
    </row>
    <row r="83" spans="1:30" ht="15" thickBot="1"/>
    <row r="84" spans="1:30" ht="15" thickBot="1">
      <c r="A84" s="122" t="s">
        <v>276</v>
      </c>
    </row>
    <row r="85" spans="1:30">
      <c r="A85" t="s">
        <v>274</v>
      </c>
      <c r="B85" t="s">
        <v>275</v>
      </c>
      <c r="C85" t="s">
        <v>276</v>
      </c>
      <c r="D85" s="48">
        <v>43734</v>
      </c>
      <c r="E85" s="44">
        <v>194900</v>
      </c>
      <c r="F85" t="s">
        <v>33</v>
      </c>
      <c r="G85" t="s">
        <v>32</v>
      </c>
      <c r="H85" s="44">
        <v>194900</v>
      </c>
      <c r="I85" s="44">
        <v>99300</v>
      </c>
      <c r="J85" s="47">
        <v>50.949204720369423</v>
      </c>
      <c r="K85" s="44">
        <v>198599</v>
      </c>
      <c r="L85" s="44">
        <v>62451</v>
      </c>
      <c r="M85" s="44">
        <v>66150</v>
      </c>
      <c r="N85" s="46">
        <v>0</v>
      </c>
      <c r="O85" s="45">
        <v>0</v>
      </c>
      <c r="P85" s="42">
        <v>0</v>
      </c>
      <c r="Q85" s="42">
        <v>0</v>
      </c>
      <c r="R85" s="44" t="e">
        <v>#DIV/0!</v>
      </c>
      <c r="S85" s="44" t="e">
        <v>#DIV/0!</v>
      </c>
      <c r="T85" s="43" t="e">
        <v>#DIV/0!</v>
      </c>
      <c r="U85" s="42">
        <v>0</v>
      </c>
      <c r="V85" s="54" t="s">
        <v>153</v>
      </c>
      <c r="W85" t="s">
        <v>277</v>
      </c>
      <c r="Y85" t="s">
        <v>178</v>
      </c>
      <c r="Z85">
        <v>0</v>
      </c>
      <c r="AA85">
        <v>1</v>
      </c>
      <c r="AB85" s="55">
        <v>34714</v>
      </c>
      <c r="AD85" s="56" t="s">
        <v>134</v>
      </c>
    </row>
    <row r="86" spans="1:30">
      <c r="A86" t="s">
        <v>278</v>
      </c>
      <c r="B86" t="s">
        <v>279</v>
      </c>
      <c r="C86" t="s">
        <v>276</v>
      </c>
      <c r="D86" s="48">
        <v>44676</v>
      </c>
      <c r="E86" s="44">
        <v>225000</v>
      </c>
      <c r="F86" t="s">
        <v>33</v>
      </c>
      <c r="G86" t="s">
        <v>32</v>
      </c>
      <c r="H86" s="44">
        <v>225000</v>
      </c>
      <c r="I86" s="44">
        <v>106000</v>
      </c>
      <c r="J86" s="47">
        <v>47.111111111111107</v>
      </c>
      <c r="K86" s="44">
        <v>212018</v>
      </c>
      <c r="L86" s="44">
        <v>79132</v>
      </c>
      <c r="M86" s="44">
        <v>66150</v>
      </c>
      <c r="N86" s="46">
        <v>0</v>
      </c>
      <c r="O86" s="45">
        <v>0</v>
      </c>
      <c r="P86" s="42">
        <v>0</v>
      </c>
      <c r="Q86" s="42">
        <v>0</v>
      </c>
      <c r="R86" s="44" t="e">
        <v>#DIV/0!</v>
      </c>
      <c r="S86" s="44" t="e">
        <v>#DIV/0!</v>
      </c>
      <c r="T86" s="43" t="e">
        <v>#DIV/0!</v>
      </c>
      <c r="U86" s="42">
        <v>0</v>
      </c>
      <c r="V86" s="54" t="s">
        <v>153</v>
      </c>
      <c r="W86" t="s">
        <v>280</v>
      </c>
      <c r="Y86" t="s">
        <v>178</v>
      </c>
      <c r="Z86">
        <v>1</v>
      </c>
      <c r="AA86">
        <v>0</v>
      </c>
      <c r="AB86" s="55">
        <v>33702</v>
      </c>
      <c r="AD86" s="56" t="s">
        <v>134</v>
      </c>
    </row>
    <row r="87" spans="1:30" ht="15" thickBot="1">
      <c r="A87" t="s">
        <v>281</v>
      </c>
      <c r="B87" t="s">
        <v>282</v>
      </c>
      <c r="C87" t="s">
        <v>276</v>
      </c>
      <c r="D87" s="48">
        <v>44720</v>
      </c>
      <c r="E87" s="44">
        <v>174500</v>
      </c>
      <c r="F87" t="s">
        <v>33</v>
      </c>
      <c r="G87" t="s">
        <v>32</v>
      </c>
      <c r="H87" s="44">
        <v>174500</v>
      </c>
      <c r="I87" s="44">
        <v>91000</v>
      </c>
      <c r="J87" s="47">
        <v>52.148997134670481</v>
      </c>
      <c r="K87" s="44">
        <v>182006</v>
      </c>
      <c r="L87" s="44">
        <v>58644</v>
      </c>
      <c r="M87" s="44">
        <v>66150</v>
      </c>
      <c r="N87" s="46">
        <v>0</v>
      </c>
      <c r="O87" s="45">
        <v>0</v>
      </c>
      <c r="P87" s="42">
        <v>0</v>
      </c>
      <c r="Q87" s="42">
        <v>0</v>
      </c>
      <c r="R87" s="44" t="e">
        <v>#DIV/0!</v>
      </c>
      <c r="S87" s="44" t="e">
        <v>#DIV/0!</v>
      </c>
      <c r="T87" s="43" t="e">
        <v>#DIV/0!</v>
      </c>
      <c r="U87" s="42">
        <v>0</v>
      </c>
      <c r="V87" s="54" t="s">
        <v>153</v>
      </c>
      <c r="W87" t="s">
        <v>283</v>
      </c>
      <c r="Y87" t="s">
        <v>178</v>
      </c>
      <c r="Z87">
        <v>0</v>
      </c>
      <c r="AA87">
        <v>1</v>
      </c>
      <c r="AB87" s="55">
        <v>35806</v>
      </c>
      <c r="AD87" s="56" t="s">
        <v>134</v>
      </c>
    </row>
    <row r="88" spans="1:30" ht="15" thickBot="1">
      <c r="D88" s="48"/>
      <c r="E88" s="44"/>
      <c r="H88" s="44"/>
      <c r="I88" s="44"/>
      <c r="J88" s="47"/>
      <c r="K88" s="44"/>
      <c r="L88" s="123">
        <f>AVERAGE(L85:L87)</f>
        <v>66742.333333333328</v>
      </c>
      <c r="M88" s="44"/>
      <c r="N88" s="46"/>
      <c r="O88" s="45"/>
      <c r="P88" s="42"/>
      <c r="Q88" s="42"/>
      <c r="R88" s="44"/>
      <c r="S88" s="44"/>
      <c r="T88" s="43"/>
      <c r="U88" s="42"/>
      <c r="V88" s="54"/>
      <c r="AB88" s="55"/>
      <c r="AD88" s="56"/>
    </row>
    <row r="89" spans="1:30">
      <c r="D89" s="48"/>
      <c r="E89" s="44"/>
      <c r="H89" s="44"/>
      <c r="I89" s="44"/>
      <c r="J89" s="47"/>
      <c r="K89" s="44"/>
      <c r="L89" s="44"/>
      <c r="M89" s="44"/>
      <c r="N89" s="46"/>
      <c r="O89" s="45"/>
      <c r="P89" s="42"/>
      <c r="Q89" s="42"/>
      <c r="R89" s="44"/>
      <c r="S89" s="44"/>
      <c r="T89" s="43"/>
      <c r="U89" s="42"/>
      <c r="V89" s="54"/>
      <c r="AB89" s="55"/>
      <c r="AD89" s="56"/>
    </row>
    <row r="90" spans="1:30">
      <c r="D90" s="48"/>
      <c r="E90" s="44"/>
      <c r="H90" s="44"/>
      <c r="I90" s="44"/>
      <c r="J90" s="47"/>
      <c r="K90" s="44"/>
      <c r="L90" s="44"/>
      <c r="M90" s="44"/>
      <c r="N90" s="46"/>
      <c r="O90" s="45"/>
      <c r="P90" s="42"/>
      <c r="Q90" s="42"/>
      <c r="R90" s="44"/>
      <c r="S90" s="44"/>
      <c r="T90" s="43"/>
      <c r="U90" s="42"/>
      <c r="V90" s="54"/>
      <c r="AB90" s="55"/>
      <c r="AD90" s="56"/>
    </row>
    <row r="91" spans="1:30">
      <c r="D91" s="48"/>
      <c r="E91" s="44"/>
      <c r="H91" s="44"/>
      <c r="I91" s="44"/>
      <c r="J91" s="47"/>
      <c r="K91" s="44"/>
      <c r="L91" s="44"/>
      <c r="M91" s="44"/>
      <c r="N91" s="46"/>
      <c r="O91" s="45"/>
      <c r="P91" s="42"/>
      <c r="Q91" s="42"/>
      <c r="R91" s="44"/>
      <c r="S91" s="44"/>
      <c r="T91" s="43"/>
      <c r="U91" s="42"/>
      <c r="V91" s="54"/>
      <c r="AB91" s="55"/>
      <c r="AD91" s="56"/>
    </row>
    <row r="92" spans="1:30" ht="15" thickBot="1">
      <c r="D92" s="48"/>
      <c r="E92" s="44"/>
      <c r="H92" s="44"/>
      <c r="I92" s="44"/>
      <c r="J92" s="47"/>
      <c r="K92" s="44"/>
      <c r="L92" s="44"/>
      <c r="M92" s="44"/>
      <c r="N92" s="46"/>
      <c r="O92" s="45"/>
      <c r="P92" s="42"/>
      <c r="Q92" s="42"/>
      <c r="R92" s="44"/>
      <c r="S92" s="44"/>
      <c r="T92" s="43"/>
      <c r="U92" s="42"/>
      <c r="V92" s="54"/>
      <c r="AB92" s="55"/>
      <c r="AD92" s="56"/>
    </row>
    <row r="93" spans="1:30" ht="15" thickBot="1">
      <c r="A93" s="124" t="s">
        <v>176</v>
      </c>
      <c r="D93" s="48"/>
      <c r="E93" s="44"/>
      <c r="H93" s="44"/>
      <c r="I93" s="44"/>
      <c r="J93" s="47"/>
      <c r="K93" s="44"/>
      <c r="L93" s="44"/>
      <c r="M93" s="44"/>
      <c r="N93" s="46"/>
      <c r="O93" s="45"/>
      <c r="P93" s="42"/>
      <c r="Q93" s="42"/>
      <c r="R93" s="44"/>
      <c r="S93" s="44"/>
      <c r="T93" s="43"/>
      <c r="U93" s="42"/>
      <c r="V93" s="54"/>
      <c r="AB93" s="55"/>
      <c r="AD93" s="56"/>
    </row>
    <row r="94" spans="1:30">
      <c r="A94" t="s">
        <v>182</v>
      </c>
      <c r="B94" t="s">
        <v>183</v>
      </c>
      <c r="C94" t="s">
        <v>176</v>
      </c>
      <c r="D94" s="48">
        <v>44032</v>
      </c>
      <c r="E94" s="44">
        <v>149900</v>
      </c>
      <c r="F94" t="s">
        <v>33</v>
      </c>
      <c r="G94" t="s">
        <v>32</v>
      </c>
      <c r="H94" s="44">
        <v>149900</v>
      </c>
      <c r="I94" s="44">
        <v>66000</v>
      </c>
      <c r="J94" s="47">
        <v>44.029352901934622</v>
      </c>
      <c r="K94" s="44">
        <v>131935</v>
      </c>
      <c r="L94" s="92">
        <v>76565</v>
      </c>
      <c r="M94" s="44">
        <v>58600</v>
      </c>
      <c r="N94" s="91">
        <v>50</v>
      </c>
      <c r="O94" s="45">
        <v>0</v>
      </c>
      <c r="P94" s="42">
        <v>0</v>
      </c>
      <c r="Q94" s="42">
        <v>0</v>
      </c>
      <c r="R94" s="44">
        <v>1531.3</v>
      </c>
      <c r="S94" s="44" t="e">
        <v>#DIV/0!</v>
      </c>
      <c r="T94" s="43" t="e">
        <v>#DIV/0!</v>
      </c>
      <c r="U94" s="42">
        <v>0</v>
      </c>
      <c r="V94" s="54" t="s">
        <v>153</v>
      </c>
      <c r="W94" t="s">
        <v>184</v>
      </c>
      <c r="Y94" t="s">
        <v>178</v>
      </c>
      <c r="Z94">
        <v>1</v>
      </c>
      <c r="AA94">
        <v>0</v>
      </c>
      <c r="AB94" s="55">
        <v>33697</v>
      </c>
      <c r="AD94" s="56" t="s">
        <v>134</v>
      </c>
    </row>
    <row r="95" spans="1:30" ht="15" thickBot="1">
      <c r="D95" s="48"/>
      <c r="E95" s="44"/>
      <c r="H95" s="44"/>
      <c r="I95" s="44"/>
      <c r="J95" s="47"/>
      <c r="K95" s="44"/>
      <c r="L95" s="44">
        <f>SUM(L94)</f>
        <v>76565</v>
      </c>
      <c r="M95" s="44"/>
      <c r="N95" s="46">
        <f>SUM(N94)</f>
        <v>50</v>
      </c>
      <c r="O95" s="45"/>
      <c r="P95" s="42"/>
      <c r="Q95" s="42"/>
      <c r="R95" s="44"/>
      <c r="S95" s="44"/>
      <c r="T95" s="43"/>
      <c r="U95" s="42"/>
      <c r="V95" s="54"/>
      <c r="AB95" s="55"/>
      <c r="AD95" s="56"/>
    </row>
    <row r="96" spans="1:30" ht="15" thickBot="1">
      <c r="D96" s="48"/>
      <c r="E96" s="44"/>
      <c r="H96" s="44"/>
      <c r="I96" s="44"/>
      <c r="J96" s="47"/>
      <c r="K96" s="44"/>
      <c r="L96" s="44"/>
      <c r="M96" s="44"/>
      <c r="N96" s="46"/>
      <c r="O96" s="120">
        <f>L95/N95</f>
        <v>1531.3</v>
      </c>
      <c r="P96" s="105" t="s">
        <v>292</v>
      </c>
      <c r="Q96" s="42"/>
      <c r="R96" s="44"/>
      <c r="S96" s="44"/>
      <c r="T96" s="43"/>
      <c r="U96" s="42"/>
      <c r="V96" s="54"/>
      <c r="AB96" s="55"/>
      <c r="AD96" s="56"/>
    </row>
    <row r="97" spans="1:30">
      <c r="D97" s="48"/>
      <c r="E97" s="44"/>
      <c r="H97" s="44"/>
      <c r="I97" s="44"/>
      <c r="J97" s="47"/>
      <c r="K97" s="44"/>
      <c r="L97" s="44"/>
      <c r="M97" s="44"/>
      <c r="N97" s="46"/>
      <c r="O97" s="45"/>
      <c r="P97" s="42"/>
      <c r="Q97" s="42"/>
      <c r="R97" s="44"/>
      <c r="S97" s="44"/>
      <c r="T97" s="43"/>
      <c r="U97" s="42"/>
      <c r="V97" s="54"/>
      <c r="AB97" s="55"/>
      <c r="AD97" s="56"/>
    </row>
    <row r="98" spans="1:30">
      <c r="A98" t="s">
        <v>257</v>
      </c>
      <c r="B98" t="s">
        <v>258</v>
      </c>
      <c r="C98" t="s">
        <v>176</v>
      </c>
      <c r="D98" s="48">
        <v>44596</v>
      </c>
      <c r="E98" s="44">
        <v>20000</v>
      </c>
      <c r="F98" t="s">
        <v>259</v>
      </c>
      <c r="G98" t="s">
        <v>32</v>
      </c>
      <c r="H98" s="44">
        <v>20000</v>
      </c>
      <c r="I98" s="44">
        <v>34600</v>
      </c>
      <c r="J98" s="47">
        <v>173</v>
      </c>
      <c r="K98" s="44">
        <v>69140</v>
      </c>
      <c r="L98" s="92">
        <v>20000</v>
      </c>
      <c r="M98" s="44">
        <v>64440</v>
      </c>
      <c r="N98" s="91">
        <v>60</v>
      </c>
      <c r="O98" s="45">
        <v>0</v>
      </c>
      <c r="P98" s="42">
        <v>0</v>
      </c>
      <c r="Q98" s="42">
        <v>0</v>
      </c>
      <c r="R98" s="44">
        <v>333.33333333333331</v>
      </c>
      <c r="S98" s="44" t="e">
        <v>#DIV/0!</v>
      </c>
      <c r="T98" s="43" t="e">
        <v>#DIV/0!</v>
      </c>
      <c r="U98" s="42">
        <v>0</v>
      </c>
      <c r="V98" s="54" t="s">
        <v>153</v>
      </c>
      <c r="W98" t="s">
        <v>260</v>
      </c>
      <c r="Y98" t="s">
        <v>178</v>
      </c>
      <c r="Z98">
        <v>1</v>
      </c>
      <c r="AA98">
        <v>0</v>
      </c>
      <c r="AB98" s="55">
        <v>33697</v>
      </c>
      <c r="AD98" s="56" t="s">
        <v>134</v>
      </c>
    </row>
    <row r="99" spans="1:30" ht="15" thickBot="1">
      <c r="D99" s="48"/>
      <c r="E99" s="44"/>
      <c r="H99" s="44"/>
      <c r="I99" s="44"/>
      <c r="J99" s="47"/>
      <c r="K99" s="44"/>
      <c r="L99" s="44">
        <f>SUM(L98)</f>
        <v>20000</v>
      </c>
      <c r="M99" s="44"/>
      <c r="N99" s="46">
        <f>SUM(N98)</f>
        <v>60</v>
      </c>
      <c r="O99" s="45"/>
      <c r="P99" s="42"/>
      <c r="Q99" s="42"/>
      <c r="R99" s="44"/>
      <c r="S99" s="44"/>
      <c r="T99" s="43"/>
      <c r="U99" s="42"/>
      <c r="V99" s="54"/>
      <c r="AB99" s="55"/>
      <c r="AD99" s="56"/>
    </row>
    <row r="100" spans="1:30" ht="15" thickBot="1">
      <c r="D100" s="48"/>
      <c r="E100" s="44"/>
      <c r="H100" s="44"/>
      <c r="I100" s="44"/>
      <c r="J100" s="47"/>
      <c r="K100" s="44"/>
      <c r="L100" s="44"/>
      <c r="M100" s="44"/>
      <c r="N100" s="46"/>
      <c r="O100" s="120">
        <f>L99/N99</f>
        <v>333.33333333333331</v>
      </c>
      <c r="P100" s="105" t="s">
        <v>293</v>
      </c>
      <c r="Q100" s="42"/>
      <c r="R100" s="44"/>
      <c r="S100" s="44"/>
      <c r="T100" s="43"/>
      <c r="U100" s="42"/>
      <c r="V100" s="54"/>
      <c r="AB100" s="55"/>
      <c r="AD100" s="56"/>
    </row>
    <row r="101" spans="1:30" ht="15" thickBot="1">
      <c r="D101" s="48"/>
      <c r="E101" s="44"/>
      <c r="H101" s="44"/>
      <c r="I101" s="44"/>
      <c r="J101" s="47"/>
      <c r="K101" s="44"/>
      <c r="L101" s="44"/>
      <c r="M101" s="44"/>
      <c r="N101" s="46"/>
      <c r="O101" s="45"/>
      <c r="P101" s="42"/>
      <c r="Q101" s="42"/>
      <c r="R101" s="44"/>
      <c r="S101" s="44"/>
      <c r="T101" s="43"/>
      <c r="U101" s="42"/>
      <c r="V101" s="54"/>
      <c r="AB101" s="55"/>
      <c r="AD101" s="56"/>
    </row>
    <row r="102" spans="1:30" ht="15" thickBot="1">
      <c r="D102" s="48"/>
      <c r="E102" s="44"/>
      <c r="H102" s="44"/>
      <c r="I102" s="44"/>
      <c r="J102" s="47"/>
      <c r="K102" s="44"/>
      <c r="L102" s="44"/>
      <c r="M102" s="44"/>
      <c r="N102" s="46"/>
      <c r="O102" s="120" t="s">
        <v>298</v>
      </c>
      <c r="P102" s="105" t="s">
        <v>294</v>
      </c>
      <c r="Q102" s="42"/>
      <c r="R102" s="44"/>
      <c r="S102" s="44"/>
      <c r="T102" s="43"/>
      <c r="U102" s="42"/>
      <c r="V102" s="54"/>
      <c r="AB102" s="55"/>
      <c r="AD102" s="56"/>
    </row>
    <row r="103" spans="1:30" ht="15" thickBot="1">
      <c r="D103" s="48"/>
      <c r="E103" s="44"/>
      <c r="H103" s="44"/>
      <c r="I103" s="44"/>
      <c r="J103" s="47"/>
      <c r="K103" s="44"/>
      <c r="L103" s="44"/>
      <c r="M103" s="44"/>
      <c r="N103" s="46"/>
      <c r="O103" s="45"/>
      <c r="P103" s="42"/>
      <c r="Q103" s="42"/>
      <c r="R103" s="44"/>
      <c r="S103" s="44"/>
      <c r="T103" s="43"/>
      <c r="U103" s="42"/>
      <c r="V103" s="54"/>
      <c r="AB103" s="55"/>
      <c r="AD103" s="56"/>
    </row>
    <row r="104" spans="1:30" ht="15" thickBot="1">
      <c r="D104" s="48"/>
      <c r="E104" s="44"/>
      <c r="H104" s="44"/>
      <c r="I104" s="44"/>
      <c r="J104" s="47"/>
      <c r="K104" s="44"/>
      <c r="L104" s="44"/>
      <c r="M104" s="44"/>
      <c r="N104" s="46"/>
      <c r="O104" s="120" t="s">
        <v>298</v>
      </c>
      <c r="P104" s="105" t="s">
        <v>297</v>
      </c>
      <c r="Q104" s="42"/>
      <c r="R104" s="44"/>
      <c r="S104" s="44"/>
      <c r="T104" s="43"/>
      <c r="U104" s="42"/>
      <c r="V104" s="54"/>
      <c r="AB104" s="55"/>
      <c r="AD104" s="56"/>
    </row>
    <row r="105" spans="1:30" ht="15" thickBot="1">
      <c r="D105" s="48"/>
      <c r="E105" s="44"/>
      <c r="H105" s="44"/>
      <c r="I105" s="44"/>
      <c r="J105" s="47"/>
      <c r="K105" s="44"/>
      <c r="L105" s="44"/>
      <c r="M105" s="44"/>
      <c r="N105" s="46"/>
      <c r="O105" s="45"/>
      <c r="P105" s="42"/>
      <c r="Q105" s="42"/>
      <c r="R105" s="44"/>
      <c r="S105" s="44"/>
      <c r="T105" s="43"/>
      <c r="U105" s="42"/>
      <c r="V105" s="54"/>
      <c r="AB105" s="55"/>
      <c r="AD105" s="56"/>
    </row>
    <row r="106" spans="1:30" ht="15" thickBot="1">
      <c r="D106" s="48"/>
      <c r="E106" s="44"/>
      <c r="H106" s="44"/>
      <c r="I106" s="44"/>
      <c r="J106" s="47"/>
      <c r="K106" s="44"/>
      <c r="L106" s="44"/>
      <c r="M106" s="44"/>
      <c r="N106" s="46"/>
      <c r="O106" s="120" t="s">
        <v>298</v>
      </c>
      <c r="P106" s="105" t="s">
        <v>295</v>
      </c>
      <c r="Q106" s="42"/>
      <c r="R106" s="44"/>
      <c r="S106" s="44"/>
      <c r="T106" s="43"/>
      <c r="U106" s="42"/>
      <c r="V106" s="54"/>
      <c r="AB106" s="55"/>
      <c r="AD106" s="56"/>
    </row>
    <row r="107" spans="1:30">
      <c r="D107" s="48"/>
      <c r="E107" s="44"/>
      <c r="H107" s="44"/>
      <c r="I107" s="44"/>
      <c r="J107" s="47"/>
      <c r="K107" s="44"/>
      <c r="L107" s="44"/>
      <c r="M107" s="44"/>
      <c r="N107" s="46"/>
      <c r="O107" s="45"/>
      <c r="P107" s="42"/>
      <c r="Q107" s="42"/>
      <c r="R107" s="44"/>
      <c r="S107" s="44"/>
      <c r="T107" s="43"/>
      <c r="U107" s="42"/>
      <c r="V107" s="54"/>
      <c r="AB107" s="55"/>
      <c r="AD107" s="56"/>
    </row>
    <row r="108" spans="1:30">
      <c r="A108" t="s">
        <v>179</v>
      </c>
      <c r="B108" t="s">
        <v>180</v>
      </c>
      <c r="C108" t="s">
        <v>176</v>
      </c>
      <c r="D108" s="48">
        <v>44747</v>
      </c>
      <c r="E108" s="44">
        <v>475000</v>
      </c>
      <c r="F108" t="s">
        <v>33</v>
      </c>
      <c r="G108" t="s">
        <v>32</v>
      </c>
      <c r="H108" s="44">
        <v>475000</v>
      </c>
      <c r="I108" s="44">
        <v>138800</v>
      </c>
      <c r="J108" s="47">
        <v>29.221052631578949</v>
      </c>
      <c r="K108" s="44">
        <v>277625</v>
      </c>
      <c r="L108" s="92">
        <v>293765</v>
      </c>
      <c r="M108" s="44">
        <v>96390</v>
      </c>
      <c r="N108" s="91">
        <v>162</v>
      </c>
      <c r="O108" s="45">
        <v>0</v>
      </c>
      <c r="P108" s="42">
        <v>0</v>
      </c>
      <c r="Q108" s="42">
        <v>0</v>
      </c>
      <c r="R108" s="44">
        <v>1813.3641975308642</v>
      </c>
      <c r="S108" s="44" t="e">
        <v>#DIV/0!</v>
      </c>
      <c r="T108" s="43" t="e">
        <v>#DIV/0!</v>
      </c>
      <c r="U108" s="42">
        <v>0</v>
      </c>
      <c r="V108" s="54" t="s">
        <v>153</v>
      </c>
      <c r="W108" t="s">
        <v>181</v>
      </c>
      <c r="Y108" t="s">
        <v>178</v>
      </c>
      <c r="Z108">
        <v>0</v>
      </c>
      <c r="AA108">
        <v>0</v>
      </c>
      <c r="AB108" t="s">
        <v>34</v>
      </c>
      <c r="AD108" s="56" t="s">
        <v>134</v>
      </c>
    </row>
    <row r="109" spans="1:30" ht="15" thickBot="1">
      <c r="D109" s="48"/>
      <c r="E109" s="44"/>
      <c r="H109" s="44"/>
      <c r="I109" s="44"/>
      <c r="J109" s="47"/>
      <c r="K109" s="44"/>
      <c r="L109" s="44">
        <f>SUM(L108)</f>
        <v>293765</v>
      </c>
      <c r="M109" s="44"/>
      <c r="N109" s="46">
        <f>SUM(N108)</f>
        <v>162</v>
      </c>
      <c r="O109" s="45"/>
      <c r="P109" s="42"/>
      <c r="Q109" s="42"/>
      <c r="R109" s="44"/>
      <c r="S109" s="44"/>
      <c r="T109" s="43"/>
      <c r="U109" s="42"/>
      <c r="V109" s="54"/>
      <c r="AD109" s="56"/>
    </row>
    <row r="110" spans="1:30" ht="15" thickBot="1">
      <c r="D110" s="48"/>
      <c r="E110" s="44"/>
      <c r="H110" s="44"/>
      <c r="I110" s="44"/>
      <c r="J110" s="47"/>
      <c r="K110" s="44"/>
      <c r="L110" s="44"/>
      <c r="M110" s="44"/>
      <c r="N110" s="46"/>
      <c r="O110" s="120">
        <f>L109/N109</f>
        <v>1813.3641975308642</v>
      </c>
      <c r="P110" s="105" t="s">
        <v>299</v>
      </c>
      <c r="Q110" s="42"/>
      <c r="R110" s="44"/>
      <c r="S110" s="44"/>
      <c r="T110" s="43"/>
      <c r="U110" s="42"/>
      <c r="V110" s="54"/>
      <c r="AD110" s="56"/>
    </row>
    <row r="111" spans="1:30">
      <c r="D111" s="48"/>
      <c r="E111" s="44"/>
      <c r="H111" s="44"/>
      <c r="I111" s="44"/>
      <c r="J111" s="47"/>
      <c r="K111" s="44"/>
      <c r="L111" s="44"/>
      <c r="M111" s="44"/>
      <c r="N111" s="46"/>
      <c r="O111" s="45"/>
      <c r="P111" s="42"/>
      <c r="Q111" s="42"/>
      <c r="R111" s="44"/>
      <c r="S111" s="44"/>
      <c r="T111" s="43"/>
      <c r="U111" s="42"/>
      <c r="V111" s="54"/>
      <c r="AD111" s="56"/>
    </row>
    <row r="112" spans="1:30">
      <c r="D112" s="48"/>
      <c r="E112" s="44"/>
      <c r="H112" s="44"/>
      <c r="I112" s="44"/>
      <c r="J112" s="47"/>
      <c r="K112" s="44"/>
      <c r="L112" s="44"/>
      <c r="M112" s="44"/>
      <c r="N112" s="46"/>
      <c r="O112" s="45"/>
      <c r="P112" s="42"/>
      <c r="Q112" s="42"/>
      <c r="R112" s="44"/>
      <c r="S112" s="44"/>
      <c r="T112" s="43"/>
      <c r="U112" s="42"/>
      <c r="V112" s="54"/>
      <c r="AD112" s="56"/>
    </row>
    <row r="113" spans="1:58">
      <c r="A113" t="s">
        <v>174</v>
      </c>
      <c r="B113" t="s">
        <v>175</v>
      </c>
      <c r="C113" t="s">
        <v>176</v>
      </c>
      <c r="D113" s="48">
        <v>43753</v>
      </c>
      <c r="E113" s="44">
        <v>180000</v>
      </c>
      <c r="F113" t="s">
        <v>33</v>
      </c>
      <c r="G113" t="s">
        <v>32</v>
      </c>
      <c r="H113" s="44">
        <v>180000</v>
      </c>
      <c r="I113" s="44">
        <v>122300</v>
      </c>
      <c r="J113" s="47">
        <v>67.944444444444443</v>
      </c>
      <c r="K113" s="44">
        <v>244664</v>
      </c>
      <c r="L113" s="92">
        <v>57136</v>
      </c>
      <c r="M113" s="44">
        <v>121800</v>
      </c>
      <c r="N113" s="91">
        <v>200</v>
      </c>
      <c r="O113" s="45">
        <v>0</v>
      </c>
      <c r="P113" s="42">
        <v>4.2300000000000004</v>
      </c>
      <c r="Q113" s="42">
        <v>4.2300000000000004</v>
      </c>
      <c r="R113" s="44">
        <v>285.68</v>
      </c>
      <c r="S113" s="44">
        <v>13507.328605200944</v>
      </c>
      <c r="T113" s="43">
        <v>0.31008559699726684</v>
      </c>
      <c r="U113" s="42">
        <v>0</v>
      </c>
      <c r="V113" s="54" t="s">
        <v>153</v>
      </c>
      <c r="W113" t="s">
        <v>177</v>
      </c>
      <c r="Y113" t="s">
        <v>178</v>
      </c>
      <c r="Z113">
        <v>1</v>
      </c>
      <c r="AA113">
        <v>0</v>
      </c>
      <c r="AB113" s="55">
        <v>33682</v>
      </c>
      <c r="AD113" s="56" t="s">
        <v>134</v>
      </c>
      <c r="AM113" s="3"/>
      <c r="BD113" s="3"/>
      <c r="BF113" s="3"/>
    </row>
    <row r="114" spans="1:58" ht="15" thickBot="1">
      <c r="D114" s="48"/>
      <c r="E114" s="44"/>
      <c r="H114" s="44"/>
      <c r="I114" s="44"/>
      <c r="J114" s="47"/>
      <c r="K114" s="44"/>
      <c r="L114" s="44">
        <f>SUM(L113)</f>
        <v>57136</v>
      </c>
      <c r="M114" s="44"/>
      <c r="N114" s="46">
        <f>SUM(N113)</f>
        <v>200</v>
      </c>
      <c r="O114" s="45"/>
      <c r="P114" s="42"/>
      <c r="Q114" s="42"/>
      <c r="R114" s="44"/>
      <c r="S114" s="44"/>
      <c r="T114" s="43"/>
      <c r="U114" s="42"/>
      <c r="V114" s="54"/>
      <c r="AB114" s="55"/>
      <c r="AD114" s="56"/>
    </row>
    <row r="115" spans="1:58" ht="15" thickBot="1">
      <c r="D115" s="48"/>
      <c r="E115" s="44"/>
      <c r="H115" s="44"/>
      <c r="I115" s="44"/>
      <c r="J115" s="47"/>
      <c r="K115" s="44"/>
      <c r="L115" s="44"/>
      <c r="M115" s="44"/>
      <c r="N115" s="46"/>
      <c r="O115" s="120">
        <f>L114/N114</f>
        <v>285.68</v>
      </c>
      <c r="P115" s="105" t="s">
        <v>296</v>
      </c>
      <c r="Q115" s="42"/>
      <c r="R115" s="44"/>
      <c r="S115" s="44"/>
      <c r="T115" s="43"/>
      <c r="U115" s="42"/>
      <c r="V115" s="54"/>
      <c r="AB115" s="55"/>
      <c r="AD115" s="56"/>
    </row>
    <row r="116" spans="1:58">
      <c r="D116" s="48"/>
      <c r="E116" s="44"/>
      <c r="H116" s="44"/>
      <c r="I116" s="44"/>
      <c r="J116" s="47"/>
      <c r="K116" s="44"/>
      <c r="L116" s="44"/>
      <c r="M116" s="44"/>
      <c r="N116" s="46"/>
      <c r="O116" s="45"/>
      <c r="P116" s="42"/>
      <c r="Q116" s="42"/>
      <c r="R116" s="44"/>
      <c r="S116" s="44"/>
      <c r="T116" s="43"/>
      <c r="U116" s="42"/>
      <c r="V116" s="54"/>
      <c r="AB116" s="55"/>
      <c r="AD116" s="56"/>
    </row>
    <row r="117" spans="1:58">
      <c r="D117" s="48"/>
      <c r="E117" s="44"/>
      <c r="H117" s="44"/>
      <c r="I117" s="44"/>
      <c r="J117" s="47"/>
      <c r="K117" s="44"/>
      <c r="L117" s="44"/>
      <c r="M117" s="44"/>
      <c r="N117" s="46"/>
      <c r="O117" s="45"/>
      <c r="P117" s="42"/>
      <c r="Q117" s="42"/>
      <c r="R117" s="44"/>
      <c r="S117" s="44"/>
      <c r="T117" s="43"/>
      <c r="U117" s="42"/>
      <c r="V117" s="54"/>
      <c r="AB117" s="55"/>
      <c r="AD117" s="56"/>
    </row>
    <row r="118" spans="1:58">
      <c r="D118" s="48"/>
      <c r="E118" s="44"/>
      <c r="H118" s="44"/>
      <c r="I118" s="44"/>
      <c r="J118" s="47"/>
      <c r="K118" s="44"/>
      <c r="L118" s="44"/>
      <c r="M118" s="44"/>
      <c r="N118" s="46"/>
      <c r="O118" s="45"/>
      <c r="P118" s="42"/>
      <c r="Q118" s="42"/>
      <c r="R118" s="44"/>
      <c r="S118" s="44"/>
      <c r="T118" s="43"/>
      <c r="U118" s="42"/>
      <c r="V118" s="54"/>
      <c r="AB118" s="55"/>
      <c r="AD118" s="56"/>
    </row>
    <row r="119" spans="1:58">
      <c r="A119" t="s">
        <v>261</v>
      </c>
      <c r="B119" t="s">
        <v>262</v>
      </c>
      <c r="C119" t="s">
        <v>263</v>
      </c>
      <c r="D119" s="48">
        <v>43847</v>
      </c>
      <c r="E119" s="44">
        <v>130000</v>
      </c>
      <c r="F119" t="s">
        <v>33</v>
      </c>
      <c r="G119" t="s">
        <v>32</v>
      </c>
      <c r="H119" s="44">
        <v>130000</v>
      </c>
      <c r="I119" s="44">
        <v>80600</v>
      </c>
      <c r="J119" s="47">
        <v>62</v>
      </c>
      <c r="K119" s="44">
        <v>161296</v>
      </c>
      <c r="L119" s="92">
        <v>20454</v>
      </c>
      <c r="M119" s="44">
        <v>51750</v>
      </c>
      <c r="N119" s="91">
        <v>90</v>
      </c>
      <c r="O119" s="45">
        <v>0</v>
      </c>
      <c r="P119" s="42">
        <v>0</v>
      </c>
      <c r="Q119" s="42">
        <v>0</v>
      </c>
      <c r="R119" s="44">
        <v>227.26666666666668</v>
      </c>
      <c r="S119" s="44" t="e">
        <v>#DIV/0!</v>
      </c>
      <c r="T119" s="43" t="e">
        <v>#DIV/0!</v>
      </c>
      <c r="U119" s="42">
        <v>0</v>
      </c>
      <c r="V119" s="54" t="s">
        <v>153</v>
      </c>
      <c r="W119" t="s">
        <v>264</v>
      </c>
      <c r="Y119" t="s">
        <v>178</v>
      </c>
      <c r="Z119">
        <v>1</v>
      </c>
      <c r="AA119">
        <v>0</v>
      </c>
      <c r="AB119" s="55">
        <v>33701</v>
      </c>
      <c r="AD119" s="56" t="s">
        <v>134</v>
      </c>
    </row>
    <row r="120" spans="1:58" ht="15" thickBot="1">
      <c r="D120" s="48"/>
      <c r="E120" s="44"/>
      <c r="H120" s="44"/>
      <c r="I120" s="44"/>
      <c r="J120" s="47"/>
      <c r="K120" s="44"/>
      <c r="L120" s="44">
        <f>SUM(L119:L119)</f>
        <v>20454</v>
      </c>
      <c r="M120" s="44"/>
      <c r="N120" s="46">
        <f>SUM(N119:N119)</f>
        <v>90</v>
      </c>
      <c r="O120" s="45"/>
      <c r="P120" s="42"/>
      <c r="Q120" s="42"/>
      <c r="R120" s="44"/>
      <c r="S120" s="44"/>
      <c r="T120" s="43"/>
      <c r="U120" s="42"/>
      <c r="V120" s="54"/>
      <c r="AB120" s="55"/>
      <c r="AD120" s="56"/>
    </row>
    <row r="121" spans="1:58" ht="15" thickBot="1">
      <c r="D121" s="48"/>
      <c r="E121" s="44"/>
      <c r="H121" s="44"/>
      <c r="I121" s="44"/>
      <c r="J121" s="47"/>
      <c r="K121" s="44"/>
      <c r="L121" s="44"/>
      <c r="M121" s="44"/>
      <c r="N121" s="46"/>
      <c r="O121" s="120">
        <f>L120/N120</f>
        <v>227.26666666666668</v>
      </c>
      <c r="P121" s="105" t="s">
        <v>263</v>
      </c>
      <c r="Q121" s="42"/>
      <c r="R121" s="44"/>
      <c r="S121" s="44"/>
      <c r="T121" s="43"/>
      <c r="U121" s="42"/>
      <c r="V121" s="54"/>
      <c r="AB121" s="55"/>
      <c r="AD121" s="56"/>
    </row>
    <row r="122" spans="1:58">
      <c r="D122" s="48"/>
      <c r="E122" s="44"/>
      <c r="H122" s="44"/>
      <c r="I122" s="44"/>
      <c r="J122" s="47"/>
      <c r="K122" s="44"/>
      <c r="L122" s="44"/>
      <c r="M122" s="44"/>
      <c r="N122" s="46"/>
      <c r="O122" s="45"/>
      <c r="P122" s="42"/>
      <c r="Q122" s="42"/>
      <c r="R122" s="44"/>
      <c r="S122" s="44"/>
      <c r="T122" s="43"/>
      <c r="U122" s="42"/>
      <c r="V122" s="54"/>
      <c r="AB122" s="55"/>
      <c r="AD122" s="56"/>
    </row>
    <row r="123" spans="1:58">
      <c r="D123" s="48"/>
      <c r="E123" s="44"/>
      <c r="H123" s="44"/>
      <c r="I123" s="44"/>
      <c r="J123" s="47"/>
      <c r="K123" s="44"/>
      <c r="L123" s="44"/>
      <c r="M123" s="44"/>
      <c r="N123" s="46"/>
      <c r="O123" s="45"/>
      <c r="P123" s="42"/>
      <c r="Q123" s="42"/>
      <c r="R123" s="44"/>
      <c r="S123" s="44"/>
      <c r="T123" s="43"/>
      <c r="U123" s="42"/>
      <c r="V123" s="54"/>
      <c r="AB123" s="55"/>
      <c r="AD123" s="56"/>
    </row>
    <row r="124" spans="1:58">
      <c r="D124" s="48"/>
      <c r="E124" s="44"/>
      <c r="H124" s="44"/>
      <c r="I124" s="44"/>
      <c r="J124" s="47"/>
      <c r="K124" s="44"/>
      <c r="L124" s="44"/>
      <c r="M124" s="44"/>
      <c r="N124" s="46"/>
      <c r="O124" s="45"/>
      <c r="P124" s="42"/>
      <c r="Q124" s="42"/>
      <c r="R124" s="44"/>
      <c r="S124" s="44"/>
      <c r="T124" s="43"/>
      <c r="U124" s="42"/>
      <c r="V124" s="54"/>
      <c r="AB124" s="55"/>
      <c r="AD124" s="56"/>
    </row>
    <row r="125" spans="1:58">
      <c r="D125" s="48"/>
      <c r="E125" s="44"/>
      <c r="H125" s="44"/>
      <c r="I125" s="44"/>
      <c r="J125" s="47"/>
      <c r="K125" s="44"/>
      <c r="L125" s="44"/>
      <c r="M125" s="44"/>
      <c r="N125" s="46"/>
      <c r="O125" s="45"/>
      <c r="P125" s="42"/>
      <c r="Q125" s="42"/>
      <c r="R125" s="44"/>
      <c r="S125" s="44"/>
      <c r="T125" s="43"/>
      <c r="U125" s="42"/>
      <c r="V125" s="54"/>
      <c r="AD125" s="56"/>
    </row>
    <row r="127" spans="1:58">
      <c r="N127" s="43"/>
    </row>
  </sheetData>
  <sortState ref="A94:BM113">
    <sortCondition ref="N94:N11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15"/>
  <sheetViews>
    <sheetView topLeftCell="A131" workbookViewId="0">
      <selection activeCell="K8" sqref="K8"/>
    </sheetView>
  </sheetViews>
  <sheetFormatPr defaultRowHeight="14.4"/>
  <cols>
    <col min="1" max="1" width="14.33203125" bestFit="1" customWidth="1"/>
    <col min="2" max="2" width="17.5546875" bestFit="1" customWidth="1"/>
    <col min="3" max="3" width="9.33203125" style="48" bestFit="1" customWidth="1"/>
    <col min="4" max="4" width="11.88671875" style="44" bestFit="1" customWidth="1"/>
    <col min="5" max="5" width="5.5546875" bestFit="1" customWidth="1"/>
    <col min="6" max="6" width="19.5546875" bestFit="1" customWidth="1"/>
    <col min="7" max="7" width="11.88671875" style="44" bestFit="1" customWidth="1"/>
    <col min="8" max="8" width="12.6640625" style="44" bestFit="1" customWidth="1"/>
    <col min="9" max="9" width="12.88671875" style="47" bestFit="1" customWidth="1"/>
    <col min="10" max="10" width="13.44140625" style="44" bestFit="1" customWidth="1"/>
    <col min="11" max="11" width="13.33203125" style="44" bestFit="1" customWidth="1"/>
    <col min="12" max="12" width="14.44140625" style="44" bestFit="1" customWidth="1"/>
    <col min="13" max="13" width="14.33203125" style="42" bestFit="1" customWidth="1"/>
    <col min="14" max="14" width="10.6640625" style="42" bestFit="1" customWidth="1"/>
    <col min="15" max="15" width="12" style="44" bestFit="1" customWidth="1"/>
    <col min="16" max="16" width="11.88671875" style="43" bestFit="1" customWidth="1"/>
    <col min="17" max="17" width="11.6640625" style="42" bestFit="1" customWidth="1"/>
    <col min="18" max="18" width="8.6640625" style="41" bestFit="1" customWidth="1"/>
    <col min="19" max="19" width="10.5546875" bestFit="1" customWidth="1"/>
    <col min="20" max="20" width="12.5546875" bestFit="1" customWidth="1"/>
  </cols>
  <sheetData>
    <row r="1" spans="1:20">
      <c r="A1" t="s">
        <v>63</v>
      </c>
      <c r="B1" t="s">
        <v>62</v>
      </c>
      <c r="C1" t="s">
        <v>61</v>
      </c>
      <c r="D1" t="s">
        <v>60</v>
      </c>
      <c r="E1" t="s">
        <v>59</v>
      </c>
      <c r="F1" t="s">
        <v>58</v>
      </c>
      <c r="G1" t="s">
        <v>57</v>
      </c>
      <c r="H1" t="s">
        <v>56</v>
      </c>
      <c r="I1" t="s">
        <v>55</v>
      </c>
      <c r="J1" t="s">
        <v>54</v>
      </c>
      <c r="K1" t="s">
        <v>53</v>
      </c>
      <c r="L1" t="s">
        <v>52</v>
      </c>
      <c r="M1" t="s">
        <v>49</v>
      </c>
      <c r="N1" t="s">
        <v>48</v>
      </c>
      <c r="O1" t="s">
        <v>46</v>
      </c>
      <c r="P1" t="s">
        <v>45</v>
      </c>
      <c r="Q1" t="s">
        <v>44</v>
      </c>
      <c r="R1" t="s">
        <v>43</v>
      </c>
      <c r="S1" t="s">
        <v>42</v>
      </c>
      <c r="T1" t="s">
        <v>40</v>
      </c>
    </row>
    <row r="2" spans="1:20">
      <c r="A2" t="s">
        <v>330</v>
      </c>
      <c r="B2" t="s">
        <v>331</v>
      </c>
      <c r="C2" s="48">
        <v>43931</v>
      </c>
      <c r="D2" s="44">
        <v>7500</v>
      </c>
      <c r="E2" t="s">
        <v>33</v>
      </c>
      <c r="F2" t="s">
        <v>32</v>
      </c>
      <c r="G2" s="44">
        <v>7500</v>
      </c>
      <c r="H2" s="44">
        <v>7500</v>
      </c>
      <c r="I2" s="47">
        <f>H2/G2*100</f>
        <v>100</v>
      </c>
      <c r="J2" s="44">
        <v>14943</v>
      </c>
      <c r="K2" s="92">
        <f>G2-0</f>
        <v>7500</v>
      </c>
      <c r="L2" s="44">
        <v>14943</v>
      </c>
      <c r="M2" s="143">
        <v>0.61</v>
      </c>
      <c r="N2" s="42">
        <v>0.61</v>
      </c>
      <c r="O2" s="44">
        <f>K2/M2</f>
        <v>12295.081967213115</v>
      </c>
      <c r="P2" s="43">
        <f>K2/M2/43560</f>
        <v>0.28225624350810641</v>
      </c>
      <c r="Q2" s="42">
        <v>0</v>
      </c>
      <c r="R2" s="54" t="s">
        <v>332</v>
      </c>
      <c r="S2" t="s">
        <v>333</v>
      </c>
      <c r="T2" t="s">
        <v>334</v>
      </c>
    </row>
    <row r="3" spans="1:20">
      <c r="K3" s="144">
        <f>SUM(K2)</f>
        <v>7500</v>
      </c>
      <c r="L3" s="144"/>
      <c r="M3" s="145">
        <f>SUM(M2)</f>
        <v>0.61</v>
      </c>
      <c r="R3" s="54"/>
    </row>
    <row r="4" spans="1:20">
      <c r="N4" s="146">
        <f>K3/M3/43560</f>
        <v>0.28225624350810641</v>
      </c>
      <c r="R4" s="54"/>
    </row>
    <row r="5" spans="1:20" ht="15" thickBot="1">
      <c r="R5" s="54"/>
    </row>
    <row r="6" spans="1:20" ht="15" thickBot="1">
      <c r="K6" s="226" t="s">
        <v>335</v>
      </c>
      <c r="L6" s="227"/>
      <c r="M6" s="228"/>
      <c r="R6" s="54"/>
    </row>
    <row r="7" spans="1:20">
      <c r="A7" t="s">
        <v>336</v>
      </c>
      <c r="B7" t="s">
        <v>337</v>
      </c>
      <c r="C7" s="48">
        <v>44602</v>
      </c>
      <c r="D7" s="44">
        <v>100000</v>
      </c>
      <c r="E7" t="s">
        <v>33</v>
      </c>
      <c r="F7" t="s">
        <v>32</v>
      </c>
      <c r="G7" s="44">
        <v>100000</v>
      </c>
      <c r="H7" s="44">
        <v>48600</v>
      </c>
      <c r="I7" s="47">
        <f>H7/G7*100</f>
        <v>48.6</v>
      </c>
      <c r="J7" s="44">
        <v>97232</v>
      </c>
      <c r="K7" s="44">
        <f>G7-78880</f>
        <v>21120</v>
      </c>
      <c r="L7" s="44">
        <v>20352</v>
      </c>
      <c r="M7" s="42">
        <v>1.1200000000000001</v>
      </c>
      <c r="N7" s="42">
        <v>1.1200000000000001</v>
      </c>
      <c r="O7" s="44">
        <f>K7/M7</f>
        <v>18857.142857142855</v>
      </c>
      <c r="P7" s="43">
        <f>K7/M7/43560</f>
        <v>0.43290043290043284</v>
      </c>
      <c r="Q7" s="42">
        <v>0</v>
      </c>
      <c r="R7" s="54" t="s">
        <v>332</v>
      </c>
      <c r="S7" t="s">
        <v>338</v>
      </c>
      <c r="T7" t="s">
        <v>334</v>
      </c>
    </row>
    <row r="8" spans="1:20">
      <c r="A8" t="s">
        <v>339</v>
      </c>
      <c r="B8" t="s">
        <v>340</v>
      </c>
      <c r="C8" s="48">
        <v>43913</v>
      </c>
      <c r="D8" s="44">
        <v>14000</v>
      </c>
      <c r="E8" t="s">
        <v>33</v>
      </c>
      <c r="F8" t="s">
        <v>32</v>
      </c>
      <c r="G8" s="44">
        <v>14000</v>
      </c>
      <c r="H8" s="44">
        <v>11900</v>
      </c>
      <c r="I8" s="47">
        <f>H8/G8*100</f>
        <v>85</v>
      </c>
      <c r="J8" s="44">
        <v>23744</v>
      </c>
      <c r="K8" s="44">
        <f>G8-0</f>
        <v>14000</v>
      </c>
      <c r="L8" s="44">
        <v>23744</v>
      </c>
      <c r="M8" s="42">
        <v>1.5</v>
      </c>
      <c r="N8" s="42">
        <v>1.5</v>
      </c>
      <c r="O8" s="44">
        <f>K8/M8</f>
        <v>9333.3333333333339</v>
      </c>
      <c r="P8" s="43">
        <f>K8/M8/43560</f>
        <v>0.21426385062748701</v>
      </c>
      <c r="Q8" s="42">
        <v>0</v>
      </c>
      <c r="R8" s="54" t="s">
        <v>332</v>
      </c>
      <c r="S8" t="s">
        <v>341</v>
      </c>
      <c r="T8" t="s">
        <v>334</v>
      </c>
    </row>
    <row r="9" spans="1:20">
      <c r="A9" t="s">
        <v>342</v>
      </c>
      <c r="B9" t="s">
        <v>343</v>
      </c>
      <c r="C9" s="48">
        <v>44673</v>
      </c>
      <c r="D9" s="44">
        <v>205000</v>
      </c>
      <c r="E9" t="s">
        <v>33</v>
      </c>
      <c r="F9" t="s">
        <v>32</v>
      </c>
      <c r="G9" s="44">
        <v>205000</v>
      </c>
      <c r="H9" s="44">
        <v>86800</v>
      </c>
      <c r="I9" s="47">
        <f>H9/G9*100</f>
        <v>42.341463414634148</v>
      </c>
      <c r="J9" s="44">
        <v>173582</v>
      </c>
      <c r="K9" s="92">
        <f>G9-149838</f>
        <v>55162</v>
      </c>
      <c r="L9" s="44">
        <v>23744</v>
      </c>
      <c r="M9" s="143">
        <v>1.5</v>
      </c>
      <c r="N9" s="42">
        <v>1.5</v>
      </c>
      <c r="O9" s="44">
        <f>K9/M9</f>
        <v>36774.666666666664</v>
      </c>
      <c r="P9" s="43">
        <f>K9/M9/43560</f>
        <v>0.84423018059381694</v>
      </c>
      <c r="Q9" s="42">
        <v>0</v>
      </c>
      <c r="R9" s="54" t="s">
        <v>332</v>
      </c>
      <c r="S9" t="s">
        <v>344</v>
      </c>
      <c r="T9" t="s">
        <v>334</v>
      </c>
    </row>
    <row r="10" spans="1:20">
      <c r="K10" s="144">
        <f>SUM(K7:K9)</f>
        <v>90282</v>
      </c>
      <c r="L10" s="144"/>
      <c r="M10" s="145">
        <f>SUM(M7:M9)</f>
        <v>4.12</v>
      </c>
      <c r="R10" s="54"/>
    </row>
    <row r="11" spans="1:20">
      <c r="N11" s="147">
        <f>K10/M10</f>
        <v>21913.106796116503</v>
      </c>
      <c r="R11" s="54"/>
    </row>
    <row r="12" spans="1:20" ht="15" thickBot="1">
      <c r="R12" s="54"/>
    </row>
    <row r="13" spans="1:20" ht="15" thickBot="1">
      <c r="K13" s="223" t="s">
        <v>345</v>
      </c>
      <c r="L13" s="224"/>
      <c r="M13" s="225"/>
      <c r="R13" s="54"/>
    </row>
    <row r="14" spans="1:20">
      <c r="A14" t="s">
        <v>346</v>
      </c>
      <c r="B14" t="s">
        <v>347</v>
      </c>
      <c r="C14" s="48">
        <v>44111</v>
      </c>
      <c r="D14" s="44">
        <v>80000</v>
      </c>
      <c r="E14" t="s">
        <v>33</v>
      </c>
      <c r="F14" t="s">
        <v>32</v>
      </c>
      <c r="G14" s="44">
        <v>80000</v>
      </c>
      <c r="H14" s="44">
        <v>35500</v>
      </c>
      <c r="I14" s="47">
        <f>H14/G14*100</f>
        <v>44.375</v>
      </c>
      <c r="J14" s="44">
        <v>71046</v>
      </c>
      <c r="K14" s="44">
        <f>G14-49702</f>
        <v>30298</v>
      </c>
      <c r="L14" s="44">
        <v>21344</v>
      </c>
      <c r="M14" s="42">
        <v>2</v>
      </c>
      <c r="N14" s="42">
        <v>2</v>
      </c>
      <c r="O14" s="44">
        <f>K14/M14</f>
        <v>15149</v>
      </c>
      <c r="P14" s="43">
        <f>K14/M14/43560</f>
        <v>0.34777318640955007</v>
      </c>
      <c r="Q14" s="42">
        <v>0</v>
      </c>
      <c r="R14" s="54" t="s">
        <v>332</v>
      </c>
      <c r="S14" t="s">
        <v>348</v>
      </c>
      <c r="T14" t="s">
        <v>334</v>
      </c>
    </row>
    <row r="15" spans="1:20">
      <c r="A15" t="s">
        <v>349</v>
      </c>
      <c r="B15" t="s">
        <v>350</v>
      </c>
      <c r="C15" s="48">
        <v>44725</v>
      </c>
      <c r="D15" s="44">
        <v>35000</v>
      </c>
      <c r="E15" t="s">
        <v>33</v>
      </c>
      <c r="F15" t="s">
        <v>32</v>
      </c>
      <c r="G15" s="44">
        <v>35000</v>
      </c>
      <c r="H15" s="44">
        <v>20000</v>
      </c>
      <c r="I15" s="47">
        <f>H15/G15*100</f>
        <v>57.142857142857139</v>
      </c>
      <c r="J15" s="44">
        <v>39949</v>
      </c>
      <c r="K15" s="44">
        <f>G15-17909</f>
        <v>17091</v>
      </c>
      <c r="L15" s="44">
        <v>22040</v>
      </c>
      <c r="M15" s="42">
        <v>2.13</v>
      </c>
      <c r="N15" s="42">
        <v>2.13</v>
      </c>
      <c r="O15" s="44">
        <f>K15/M15</f>
        <v>8023.9436619718317</v>
      </c>
      <c r="P15" s="43">
        <f>K15/M15/43560</f>
        <v>0.18420439995343965</v>
      </c>
      <c r="Q15" s="42">
        <v>0</v>
      </c>
      <c r="R15" s="54" t="s">
        <v>332</v>
      </c>
      <c r="S15" t="s">
        <v>351</v>
      </c>
      <c r="T15" t="s">
        <v>334</v>
      </c>
    </row>
    <row r="16" spans="1:20">
      <c r="A16" t="s">
        <v>352</v>
      </c>
      <c r="B16" t="s">
        <v>353</v>
      </c>
      <c r="C16" s="48">
        <v>43907</v>
      </c>
      <c r="D16" s="44">
        <v>164000</v>
      </c>
      <c r="E16" t="s">
        <v>33</v>
      </c>
      <c r="F16" t="s">
        <v>32</v>
      </c>
      <c r="G16" s="44">
        <v>164000</v>
      </c>
      <c r="H16" s="44">
        <v>83300</v>
      </c>
      <c r="I16" s="47">
        <f>H16/G16*100</f>
        <v>50.792682926829272</v>
      </c>
      <c r="J16" s="44">
        <v>166521</v>
      </c>
      <c r="K16" s="92">
        <f>G16-145649</f>
        <v>18351</v>
      </c>
      <c r="L16" s="44">
        <v>20872</v>
      </c>
      <c r="M16" s="143">
        <v>2.61</v>
      </c>
      <c r="N16" s="42">
        <v>2.61</v>
      </c>
      <c r="O16" s="44">
        <f>K16/M16</f>
        <v>7031.0344827586214</v>
      </c>
      <c r="P16" s="43">
        <f>K16/M16/43560</f>
        <v>0.16141034166112539</v>
      </c>
      <c r="Q16" s="42">
        <v>0</v>
      </c>
      <c r="R16" s="54" t="s">
        <v>332</v>
      </c>
      <c r="S16" t="s">
        <v>354</v>
      </c>
      <c r="T16" t="s">
        <v>334</v>
      </c>
    </row>
    <row r="17" spans="1:20">
      <c r="K17" s="144">
        <f>SUM(K14:K16)</f>
        <v>65740</v>
      </c>
      <c r="L17" s="144"/>
      <c r="M17" s="145">
        <f>SUM(M14:M16)</f>
        <v>6.74</v>
      </c>
      <c r="R17" s="54"/>
    </row>
    <row r="18" spans="1:20">
      <c r="N18" s="147">
        <f>K17/M17</f>
        <v>9753.709198813056</v>
      </c>
      <c r="R18" s="54"/>
    </row>
    <row r="19" spans="1:20" ht="15" thickBot="1">
      <c r="R19" s="54"/>
    </row>
    <row r="20" spans="1:20" ht="15" thickBot="1">
      <c r="K20" s="223" t="s">
        <v>355</v>
      </c>
      <c r="L20" s="224"/>
      <c r="M20" s="225"/>
      <c r="R20" s="54"/>
    </row>
    <row r="21" spans="1:20">
      <c r="A21" t="s">
        <v>356</v>
      </c>
      <c r="B21" t="s">
        <v>357</v>
      </c>
      <c r="C21" s="48">
        <v>44631</v>
      </c>
      <c r="D21" s="44">
        <v>115000</v>
      </c>
      <c r="E21" t="s">
        <v>33</v>
      </c>
      <c r="F21" t="s">
        <v>32</v>
      </c>
      <c r="G21" s="44">
        <v>115000</v>
      </c>
      <c r="H21" s="44">
        <v>49100</v>
      </c>
      <c r="I21" s="47">
        <f>H21/G21*100</f>
        <v>42.695652173913047</v>
      </c>
      <c r="J21" s="44">
        <v>98193</v>
      </c>
      <c r="K21" s="44">
        <f>G21-75051</f>
        <v>39949</v>
      </c>
      <c r="L21" s="44">
        <v>23142</v>
      </c>
      <c r="M21" s="42">
        <v>2.8</v>
      </c>
      <c r="N21" s="42">
        <v>2.8</v>
      </c>
      <c r="O21" s="44">
        <f>K21/M21</f>
        <v>14267.5</v>
      </c>
      <c r="P21" s="43">
        <f>K21/M21/43560</f>
        <v>0.32753673094582186</v>
      </c>
      <c r="Q21" s="42">
        <v>0</v>
      </c>
      <c r="R21" s="54" t="s">
        <v>332</v>
      </c>
      <c r="S21" t="s">
        <v>358</v>
      </c>
      <c r="T21" t="s">
        <v>334</v>
      </c>
    </row>
    <row r="22" spans="1:20">
      <c r="A22" t="s">
        <v>359</v>
      </c>
      <c r="B22" t="s">
        <v>360</v>
      </c>
      <c r="C22" s="48">
        <v>43841</v>
      </c>
      <c r="D22" s="44">
        <v>65000</v>
      </c>
      <c r="E22" t="s">
        <v>33</v>
      </c>
      <c r="F22" t="s">
        <v>32</v>
      </c>
      <c r="G22" s="44">
        <v>65000</v>
      </c>
      <c r="H22" s="44">
        <v>37200</v>
      </c>
      <c r="I22" s="47">
        <f>H22/G22*100</f>
        <v>57.230769230769226</v>
      </c>
      <c r="J22" s="44">
        <v>74312</v>
      </c>
      <c r="K22" s="44">
        <f>G22-41257</f>
        <v>23743</v>
      </c>
      <c r="L22" s="44">
        <v>23055</v>
      </c>
      <c r="M22" s="42">
        <v>3.6</v>
      </c>
      <c r="N22" s="42">
        <v>3.6</v>
      </c>
      <c r="O22" s="44">
        <f>K22/M22</f>
        <v>6595.2777777777774</v>
      </c>
      <c r="P22" s="43">
        <f>K22/M22/43560</f>
        <v>0.15140674420977451</v>
      </c>
      <c r="Q22" s="42">
        <v>0</v>
      </c>
      <c r="R22" s="54" t="s">
        <v>332</v>
      </c>
      <c r="S22" t="s">
        <v>361</v>
      </c>
      <c r="T22" t="s">
        <v>334</v>
      </c>
    </row>
    <row r="23" spans="1:20">
      <c r="A23" t="s">
        <v>362</v>
      </c>
      <c r="B23" t="s">
        <v>363</v>
      </c>
      <c r="C23" s="48">
        <v>44497</v>
      </c>
      <c r="D23" s="44">
        <v>155000</v>
      </c>
      <c r="E23" t="s">
        <v>33</v>
      </c>
      <c r="F23" t="s">
        <v>32</v>
      </c>
      <c r="G23" s="44">
        <v>155000</v>
      </c>
      <c r="H23" s="44">
        <v>73600</v>
      </c>
      <c r="I23" s="47">
        <f>H23/G23*100</f>
        <v>47.483870967741936</v>
      </c>
      <c r="J23" s="44">
        <v>147231</v>
      </c>
      <c r="K23" s="92">
        <f>G23-121462</f>
        <v>33538</v>
      </c>
      <c r="L23" s="44">
        <v>25769</v>
      </c>
      <c r="M23" s="143">
        <v>3.78</v>
      </c>
      <c r="N23" s="42">
        <v>3.78</v>
      </c>
      <c r="O23" s="44">
        <f>K23/M23</f>
        <v>8872.4867724867727</v>
      </c>
      <c r="P23" s="43">
        <f>K23/M23/43560</f>
        <v>0.203684269340835</v>
      </c>
      <c r="Q23" s="42">
        <v>0</v>
      </c>
      <c r="R23" s="54" t="s">
        <v>332</v>
      </c>
      <c r="S23" t="s">
        <v>364</v>
      </c>
      <c r="T23" t="s">
        <v>334</v>
      </c>
    </row>
    <row r="24" spans="1:20">
      <c r="K24" s="144">
        <f>SUM(K21:K23)</f>
        <v>97230</v>
      </c>
      <c r="L24" s="144"/>
      <c r="M24" s="145">
        <f>SUM(M21:M23)</f>
        <v>10.18</v>
      </c>
      <c r="R24" s="54"/>
    </row>
    <row r="25" spans="1:20">
      <c r="N25" s="147">
        <f>K24/M24</f>
        <v>9551.0805500982315</v>
      </c>
      <c r="R25" s="54"/>
    </row>
    <row r="26" spans="1:20" ht="15" thickBot="1">
      <c r="R26" s="54"/>
    </row>
    <row r="27" spans="1:20" ht="15" thickBot="1">
      <c r="K27" s="223" t="s">
        <v>365</v>
      </c>
      <c r="L27" s="224"/>
      <c r="M27" s="225"/>
      <c r="R27" s="54"/>
    </row>
    <row r="28" spans="1:20">
      <c r="A28" t="s">
        <v>366</v>
      </c>
      <c r="B28" t="s">
        <v>367</v>
      </c>
      <c r="C28" s="48">
        <v>44692</v>
      </c>
      <c r="D28" s="44">
        <v>84000</v>
      </c>
      <c r="E28" t="s">
        <v>33</v>
      </c>
      <c r="F28" t="s">
        <v>32</v>
      </c>
      <c r="G28" s="44">
        <v>84000</v>
      </c>
      <c r="H28" s="44">
        <v>47500</v>
      </c>
      <c r="I28" s="47">
        <f>H28/G28*100</f>
        <v>56.547619047619044</v>
      </c>
      <c r="J28" s="44">
        <v>95035</v>
      </c>
      <c r="K28" s="44">
        <f>G28-67295</f>
        <v>16705</v>
      </c>
      <c r="L28" s="44">
        <v>27740</v>
      </c>
      <c r="M28" s="42">
        <v>4</v>
      </c>
      <c r="N28" s="42">
        <v>4</v>
      </c>
      <c r="O28" s="44">
        <f>K28/M28</f>
        <v>4176.25</v>
      </c>
      <c r="P28" s="43">
        <f>K28/M28/43560</f>
        <v>9.5873507805325983E-2</v>
      </c>
      <c r="Q28" s="42">
        <v>0</v>
      </c>
      <c r="R28" s="54" t="s">
        <v>332</v>
      </c>
      <c r="S28" t="s">
        <v>368</v>
      </c>
      <c r="T28" t="s">
        <v>334</v>
      </c>
    </row>
    <row r="29" spans="1:20">
      <c r="A29" t="s">
        <v>369</v>
      </c>
      <c r="B29" t="s">
        <v>116</v>
      </c>
      <c r="C29" s="48">
        <v>44053</v>
      </c>
      <c r="D29" s="44">
        <v>25500</v>
      </c>
      <c r="E29" t="s">
        <v>33</v>
      </c>
      <c r="F29" t="s">
        <v>32</v>
      </c>
      <c r="G29" s="44">
        <v>25500</v>
      </c>
      <c r="H29" s="44">
        <v>13500</v>
      </c>
      <c r="I29" s="47">
        <f>H29/G29*100</f>
        <v>52.941176470588239</v>
      </c>
      <c r="J29" s="44">
        <v>27010</v>
      </c>
      <c r="K29" s="44">
        <f>G29-0</f>
        <v>25500</v>
      </c>
      <c r="L29" s="44">
        <v>27010</v>
      </c>
      <c r="M29" s="42">
        <v>4</v>
      </c>
      <c r="N29" s="42">
        <v>4</v>
      </c>
      <c r="O29" s="44">
        <f>K29/M29</f>
        <v>6375</v>
      </c>
      <c r="P29" s="43">
        <f>K29/M29/43560</f>
        <v>0.14634986225895316</v>
      </c>
      <c r="Q29" s="42">
        <v>0</v>
      </c>
      <c r="R29" s="54" t="s">
        <v>332</v>
      </c>
      <c r="S29" t="s">
        <v>370</v>
      </c>
      <c r="T29" t="s">
        <v>334</v>
      </c>
    </row>
    <row r="30" spans="1:20">
      <c r="A30" t="s">
        <v>369</v>
      </c>
      <c r="B30" t="s">
        <v>116</v>
      </c>
      <c r="C30" s="48">
        <v>44433</v>
      </c>
      <c r="D30" s="44">
        <v>31500</v>
      </c>
      <c r="E30" t="s">
        <v>33</v>
      </c>
      <c r="F30" t="s">
        <v>32</v>
      </c>
      <c r="G30" s="44">
        <v>31500</v>
      </c>
      <c r="H30" s="44">
        <v>13500</v>
      </c>
      <c r="I30" s="47">
        <f>H30/G30*100</f>
        <v>42.857142857142854</v>
      </c>
      <c r="J30" s="44">
        <v>27010</v>
      </c>
      <c r="K30" s="44">
        <f>G30-0</f>
        <v>31500</v>
      </c>
      <c r="L30" s="44">
        <v>27010</v>
      </c>
      <c r="M30" s="42">
        <v>4</v>
      </c>
      <c r="N30" s="42">
        <v>4</v>
      </c>
      <c r="O30" s="44">
        <f>K30/M30</f>
        <v>7875</v>
      </c>
      <c r="P30" s="43">
        <f>K30/M30/43560</f>
        <v>0.18078512396694216</v>
      </c>
      <c r="Q30" s="42">
        <v>0</v>
      </c>
      <c r="R30" s="54" t="s">
        <v>332</v>
      </c>
      <c r="S30" t="s">
        <v>371</v>
      </c>
      <c r="T30" t="s">
        <v>334</v>
      </c>
    </row>
    <row r="31" spans="1:20">
      <c r="A31" t="s">
        <v>372</v>
      </c>
      <c r="B31" t="s">
        <v>373</v>
      </c>
      <c r="C31" s="48">
        <v>44530</v>
      </c>
      <c r="D31" s="44">
        <v>150000</v>
      </c>
      <c r="E31" t="s">
        <v>33</v>
      </c>
      <c r="F31" t="s">
        <v>32</v>
      </c>
      <c r="G31" s="44">
        <v>150000</v>
      </c>
      <c r="H31" s="44">
        <v>70400</v>
      </c>
      <c r="I31" s="47">
        <f>H31/G31*100</f>
        <v>46.93333333333333</v>
      </c>
      <c r="J31" s="44">
        <v>140736</v>
      </c>
      <c r="K31" s="44">
        <f>G31-114310</f>
        <v>35690</v>
      </c>
      <c r="L31" s="44">
        <v>26426</v>
      </c>
      <c r="M31" s="42">
        <v>4.3</v>
      </c>
      <c r="N31" s="42">
        <v>4.3</v>
      </c>
      <c r="O31" s="44">
        <f>K31/M31</f>
        <v>8300</v>
      </c>
      <c r="P31" s="43">
        <f>K31/M31/43560</f>
        <v>0.19054178145087236</v>
      </c>
      <c r="Q31" s="42">
        <v>0</v>
      </c>
      <c r="R31" s="54" t="s">
        <v>332</v>
      </c>
      <c r="S31" t="s">
        <v>374</v>
      </c>
      <c r="T31" t="s">
        <v>334</v>
      </c>
    </row>
    <row r="32" spans="1:20">
      <c r="A32" t="s">
        <v>372</v>
      </c>
      <c r="B32" t="s">
        <v>373</v>
      </c>
      <c r="C32" s="48">
        <v>44606</v>
      </c>
      <c r="D32" s="44">
        <v>160000</v>
      </c>
      <c r="E32" t="s">
        <v>152</v>
      </c>
      <c r="F32" t="s">
        <v>32</v>
      </c>
      <c r="G32" s="44">
        <v>160000</v>
      </c>
      <c r="H32" s="44">
        <v>70400</v>
      </c>
      <c r="I32" s="47">
        <f>H32/G32*100</f>
        <v>44</v>
      </c>
      <c r="J32" s="44">
        <v>140736</v>
      </c>
      <c r="K32" s="44">
        <f>G32-114310</f>
        <v>45690</v>
      </c>
      <c r="L32" s="44">
        <v>26426</v>
      </c>
      <c r="M32" s="42">
        <v>4.3</v>
      </c>
      <c r="N32" s="42">
        <v>4.3</v>
      </c>
      <c r="O32" s="44">
        <f>K32/M32</f>
        <v>10625.581395348838</v>
      </c>
      <c r="P32" s="43">
        <f>K32/M32/43560</f>
        <v>0.2439297840989173</v>
      </c>
      <c r="Q32" s="42">
        <v>0</v>
      </c>
      <c r="R32" s="54" t="s">
        <v>332</v>
      </c>
      <c r="S32" t="s">
        <v>375</v>
      </c>
      <c r="T32" t="s">
        <v>334</v>
      </c>
    </row>
    <row r="33" spans="1:20">
      <c r="K33" s="144">
        <f>SUM(K28:K32)</f>
        <v>155085</v>
      </c>
      <c r="L33" s="144"/>
      <c r="M33" s="145">
        <f>SUM(M28:M32)</f>
        <v>20.6</v>
      </c>
      <c r="R33" s="54"/>
    </row>
    <row r="34" spans="1:20">
      <c r="N34" s="147">
        <f>K33/M33</f>
        <v>7528.3980582524264</v>
      </c>
      <c r="R34" s="54"/>
    </row>
    <row r="35" spans="1:20" ht="15" thickBot="1">
      <c r="R35" s="54"/>
    </row>
    <row r="36" spans="1:20" ht="15" thickBot="1">
      <c r="K36" s="223" t="s">
        <v>376</v>
      </c>
      <c r="L36" s="224"/>
      <c r="M36" s="225"/>
      <c r="R36" s="54"/>
    </row>
    <row r="37" spans="1:20">
      <c r="A37" t="s">
        <v>377</v>
      </c>
      <c r="B37" t="s">
        <v>378</v>
      </c>
      <c r="C37" s="48">
        <v>44179</v>
      </c>
      <c r="D37" s="44">
        <v>35000</v>
      </c>
      <c r="E37" t="s">
        <v>33</v>
      </c>
      <c r="F37" t="s">
        <v>32</v>
      </c>
      <c r="G37" s="44">
        <v>35000</v>
      </c>
      <c r="H37" s="44">
        <v>19600</v>
      </c>
      <c r="I37" s="47">
        <f>H37/G37*100</f>
        <v>56.000000000000007</v>
      </c>
      <c r="J37" s="44">
        <v>39299</v>
      </c>
      <c r="K37" s="44">
        <f>G37-0</f>
        <v>35000</v>
      </c>
      <c r="L37" s="44">
        <v>39299</v>
      </c>
      <c r="M37" s="42">
        <v>4.8</v>
      </c>
      <c r="N37" s="42">
        <v>4.8</v>
      </c>
      <c r="O37" s="44">
        <f>K37/M37</f>
        <v>7291.666666666667</v>
      </c>
      <c r="P37" s="43">
        <f>K37/M37/43560</f>
        <v>0.16739363330272422</v>
      </c>
      <c r="Q37" s="42">
        <v>0</v>
      </c>
      <c r="R37" s="54" t="s">
        <v>332</v>
      </c>
      <c r="S37" t="s">
        <v>379</v>
      </c>
      <c r="T37" t="s">
        <v>334</v>
      </c>
    </row>
    <row r="38" spans="1:20">
      <c r="A38" t="s">
        <v>377</v>
      </c>
      <c r="B38" t="s">
        <v>378</v>
      </c>
      <c r="C38" s="48">
        <v>44455</v>
      </c>
      <c r="D38" s="44">
        <v>45000</v>
      </c>
      <c r="E38" t="s">
        <v>33</v>
      </c>
      <c r="F38" t="s">
        <v>32</v>
      </c>
      <c r="G38" s="44">
        <v>45000</v>
      </c>
      <c r="H38" s="44">
        <v>19600</v>
      </c>
      <c r="I38" s="47">
        <f>H38/G38*100</f>
        <v>43.55555555555555</v>
      </c>
      <c r="J38" s="44">
        <v>39299</v>
      </c>
      <c r="K38" s="44">
        <f>G38-0</f>
        <v>45000</v>
      </c>
      <c r="L38" s="44">
        <v>39299</v>
      </c>
      <c r="M38" s="42">
        <v>4.8</v>
      </c>
      <c r="N38" s="42">
        <v>4.8</v>
      </c>
      <c r="O38" s="44">
        <f>K38/M38</f>
        <v>9375</v>
      </c>
      <c r="P38" s="43">
        <f>K38/M38/43560</f>
        <v>0.21522038567493113</v>
      </c>
      <c r="Q38" s="42">
        <v>0</v>
      </c>
      <c r="R38" s="54" t="s">
        <v>332</v>
      </c>
      <c r="S38" t="s">
        <v>380</v>
      </c>
      <c r="T38" t="s">
        <v>334</v>
      </c>
    </row>
    <row r="39" spans="1:20">
      <c r="A39" t="s">
        <v>381</v>
      </c>
      <c r="B39" t="s">
        <v>382</v>
      </c>
      <c r="C39" s="48">
        <v>44780</v>
      </c>
      <c r="D39" s="44">
        <v>115000</v>
      </c>
      <c r="E39" t="s">
        <v>33</v>
      </c>
      <c r="F39" t="s">
        <v>32</v>
      </c>
      <c r="G39" s="44">
        <v>115000</v>
      </c>
      <c r="H39" s="44">
        <v>63200</v>
      </c>
      <c r="I39" s="47">
        <f>H39/G39*100</f>
        <v>54.956521739130437</v>
      </c>
      <c r="J39" s="44">
        <v>126304</v>
      </c>
      <c r="K39" s="44">
        <f>G39-91410</f>
        <v>23590</v>
      </c>
      <c r="L39" s="44">
        <v>34894</v>
      </c>
      <c r="M39" s="42">
        <v>4.9800000000000004</v>
      </c>
      <c r="N39" s="42">
        <v>4.9800000000000004</v>
      </c>
      <c r="O39" s="44">
        <f>K39/M39</f>
        <v>4736.9477911646582</v>
      </c>
      <c r="P39" s="43">
        <f>K39/M39/43560</f>
        <v>0.10874535792389023</v>
      </c>
      <c r="Q39" s="42">
        <v>0</v>
      </c>
      <c r="R39" s="54" t="s">
        <v>332</v>
      </c>
      <c r="S39" t="s">
        <v>383</v>
      </c>
      <c r="T39" t="s">
        <v>334</v>
      </c>
    </row>
    <row r="40" spans="1:20">
      <c r="A40" t="s">
        <v>384</v>
      </c>
      <c r="B40" t="s">
        <v>385</v>
      </c>
      <c r="C40" s="48">
        <v>44672</v>
      </c>
      <c r="D40" s="44">
        <v>25000</v>
      </c>
      <c r="E40" t="s">
        <v>33</v>
      </c>
      <c r="F40" t="s">
        <v>32</v>
      </c>
      <c r="G40" s="44">
        <v>25000</v>
      </c>
      <c r="H40" s="44">
        <v>12500</v>
      </c>
      <c r="I40" s="47">
        <f>H40/G40*100</f>
        <v>50</v>
      </c>
      <c r="J40" s="44">
        <v>25080</v>
      </c>
      <c r="K40" s="44">
        <f>G40-0</f>
        <v>25000</v>
      </c>
      <c r="L40" s="44">
        <v>25080</v>
      </c>
      <c r="M40" s="42">
        <v>5</v>
      </c>
      <c r="N40" s="42">
        <v>5</v>
      </c>
      <c r="O40" s="44">
        <f>K40/M40</f>
        <v>5000</v>
      </c>
      <c r="P40" s="43">
        <f>K40/M40/43560</f>
        <v>0.1147842056932966</v>
      </c>
      <c r="Q40" s="42">
        <v>0</v>
      </c>
      <c r="R40" s="54" t="s">
        <v>332</v>
      </c>
      <c r="S40" t="s">
        <v>386</v>
      </c>
      <c r="T40" t="s">
        <v>334</v>
      </c>
    </row>
    <row r="41" spans="1:20">
      <c r="A41" t="s">
        <v>387</v>
      </c>
      <c r="B41" t="s">
        <v>388</v>
      </c>
      <c r="C41" s="48">
        <v>44340</v>
      </c>
      <c r="D41" s="44">
        <v>280000</v>
      </c>
      <c r="E41" t="s">
        <v>33</v>
      </c>
      <c r="F41" t="s">
        <v>32</v>
      </c>
      <c r="G41" s="44">
        <v>280000</v>
      </c>
      <c r="H41" s="44">
        <v>121300</v>
      </c>
      <c r="I41" s="47">
        <f>H41/G41*100</f>
        <v>43.321428571428569</v>
      </c>
      <c r="J41" s="44">
        <v>242676</v>
      </c>
      <c r="K41" s="44">
        <f>G41-210864</f>
        <v>69136</v>
      </c>
      <c r="L41" s="44">
        <v>31812</v>
      </c>
      <c r="M41" s="42">
        <v>5</v>
      </c>
      <c r="N41" s="42">
        <v>5</v>
      </c>
      <c r="O41" s="44">
        <f>K41/M41</f>
        <v>13827.2</v>
      </c>
      <c r="P41" s="43">
        <f>K41/M41/43560</f>
        <v>0.31742883379247017</v>
      </c>
      <c r="Q41" s="42">
        <v>0</v>
      </c>
      <c r="R41" s="54" t="s">
        <v>332</v>
      </c>
      <c r="S41" t="s">
        <v>389</v>
      </c>
      <c r="T41" t="s">
        <v>334</v>
      </c>
    </row>
    <row r="42" spans="1:20">
      <c r="K42" s="144">
        <f>SUM(K37:K41)</f>
        <v>197726</v>
      </c>
      <c r="L42" s="144"/>
      <c r="M42" s="145">
        <f>SUM(M37:M41)</f>
        <v>24.58</v>
      </c>
      <c r="R42" s="54"/>
    </row>
    <row r="43" spans="1:20">
      <c r="N43" s="147">
        <f>K42/M42</f>
        <v>8044.1822620016283</v>
      </c>
      <c r="R43" s="54"/>
    </row>
    <row r="44" spans="1:20" ht="15" thickBot="1">
      <c r="R44" s="54"/>
    </row>
    <row r="45" spans="1:20" ht="15" thickBot="1">
      <c r="K45" s="223" t="s">
        <v>390</v>
      </c>
      <c r="L45" s="224"/>
      <c r="M45" s="225"/>
      <c r="R45" s="54"/>
    </row>
    <row r="46" spans="1:20">
      <c r="A46" t="s">
        <v>391</v>
      </c>
      <c r="B46" t="s">
        <v>392</v>
      </c>
      <c r="C46" s="48">
        <v>44816</v>
      </c>
      <c r="D46" s="44">
        <v>103000</v>
      </c>
      <c r="E46" t="s">
        <v>33</v>
      </c>
      <c r="F46" t="s">
        <v>32</v>
      </c>
      <c r="G46" s="44">
        <v>103000</v>
      </c>
      <c r="H46" s="44">
        <v>54500</v>
      </c>
      <c r="I46" s="47">
        <f>H46/G46*100</f>
        <v>52.912621359223301</v>
      </c>
      <c r="J46" s="44">
        <v>109094</v>
      </c>
      <c r="K46" s="44">
        <f>G46-74714</f>
        <v>28286</v>
      </c>
      <c r="L46" s="44">
        <v>34380</v>
      </c>
      <c r="M46" s="42">
        <v>6</v>
      </c>
      <c r="N46" s="42">
        <v>6</v>
      </c>
      <c r="O46" s="44">
        <f>K46/M46</f>
        <v>4714.333333333333</v>
      </c>
      <c r="P46" s="43">
        <f>K46/M46/43560</f>
        <v>0.10822620140801958</v>
      </c>
      <c r="Q46" s="42">
        <v>0</v>
      </c>
      <c r="R46" s="54" t="s">
        <v>332</v>
      </c>
      <c r="S46" t="s">
        <v>393</v>
      </c>
      <c r="T46" t="s">
        <v>334</v>
      </c>
    </row>
    <row r="47" spans="1:20">
      <c r="A47" t="s">
        <v>394</v>
      </c>
      <c r="B47" t="s">
        <v>395</v>
      </c>
      <c r="C47" s="48">
        <v>44778</v>
      </c>
      <c r="D47" s="44">
        <v>360000</v>
      </c>
      <c r="E47" t="s">
        <v>33</v>
      </c>
      <c r="F47" t="s">
        <v>32</v>
      </c>
      <c r="G47" s="44">
        <v>360000</v>
      </c>
      <c r="H47" s="44">
        <v>105700</v>
      </c>
      <c r="I47" s="47">
        <f>H47/G47*100</f>
        <v>29.361111111111111</v>
      </c>
      <c r="J47" s="44">
        <v>211405</v>
      </c>
      <c r="K47" s="44">
        <f>G47-177205</f>
        <v>182795</v>
      </c>
      <c r="L47" s="44">
        <v>34200</v>
      </c>
      <c r="M47" s="42">
        <v>6.5</v>
      </c>
      <c r="N47" s="42">
        <v>6.5</v>
      </c>
      <c r="O47" s="44">
        <f>K47/M47</f>
        <v>28122.307692307691</v>
      </c>
      <c r="P47" s="43">
        <f>K47/M47/43560</f>
        <v>0.64559935014480463</v>
      </c>
      <c r="Q47" s="42">
        <v>0</v>
      </c>
      <c r="R47" s="54" t="s">
        <v>332</v>
      </c>
      <c r="S47" t="s">
        <v>396</v>
      </c>
      <c r="T47" t="s">
        <v>334</v>
      </c>
    </row>
    <row r="48" spans="1:20">
      <c r="A48" t="s">
        <v>397</v>
      </c>
      <c r="B48" t="s">
        <v>197</v>
      </c>
      <c r="C48" s="48">
        <v>44554</v>
      </c>
      <c r="D48" s="44">
        <v>18000</v>
      </c>
      <c r="E48" t="s">
        <v>33</v>
      </c>
      <c r="F48" t="s">
        <v>324</v>
      </c>
      <c r="G48" s="44">
        <v>18000</v>
      </c>
      <c r="H48" s="44">
        <v>17700</v>
      </c>
      <c r="I48" s="47">
        <f>H48/G48*100</f>
        <v>98.333333333333329</v>
      </c>
      <c r="J48" s="44">
        <v>35438</v>
      </c>
      <c r="K48" s="92">
        <f>G48-0</f>
        <v>18000</v>
      </c>
      <c r="L48" s="44">
        <v>35438</v>
      </c>
      <c r="M48" s="143">
        <v>6.79</v>
      </c>
      <c r="N48" s="42">
        <v>6.79</v>
      </c>
      <c r="O48" s="44">
        <f>K48/M48</f>
        <v>2650.9572901325478</v>
      </c>
      <c r="P48" s="43">
        <f>K48/M48/43560</f>
        <v>6.0857605374943703E-2</v>
      </c>
      <c r="Q48" s="42">
        <v>0</v>
      </c>
      <c r="R48" s="54" t="s">
        <v>332</v>
      </c>
      <c r="S48" t="s">
        <v>398</v>
      </c>
      <c r="T48" t="s">
        <v>334</v>
      </c>
    </row>
    <row r="49" spans="1:20">
      <c r="K49" s="144">
        <f>SUM(K46:K48)</f>
        <v>229081</v>
      </c>
      <c r="L49" s="144"/>
      <c r="M49" s="145">
        <f>SUM(M46:M48)</f>
        <v>19.29</v>
      </c>
      <c r="R49" s="54"/>
    </row>
    <row r="50" spans="1:20">
      <c r="N50" s="147">
        <f>K49/M49</f>
        <v>11875.635044064282</v>
      </c>
      <c r="R50" s="54"/>
    </row>
    <row r="51" spans="1:20" ht="15" thickBot="1">
      <c r="R51" s="54"/>
    </row>
    <row r="52" spans="1:20" ht="15" thickBot="1">
      <c r="K52" s="223" t="s">
        <v>399</v>
      </c>
      <c r="L52" s="224"/>
      <c r="M52" s="225"/>
      <c r="R52" s="54"/>
    </row>
    <row r="53" spans="1:20">
      <c r="A53" t="s">
        <v>400</v>
      </c>
      <c r="B53" t="s">
        <v>401</v>
      </c>
      <c r="C53" s="48">
        <v>43970</v>
      </c>
      <c r="D53" s="44">
        <v>30000</v>
      </c>
      <c r="E53" t="s">
        <v>152</v>
      </c>
      <c r="F53" t="s">
        <v>32</v>
      </c>
      <c r="G53" s="44">
        <v>30000</v>
      </c>
      <c r="H53" s="44">
        <v>25100</v>
      </c>
      <c r="I53" s="47">
        <f t="shared" ref="I53:I59" si="0">H53/G53*100</f>
        <v>83.666666666666671</v>
      </c>
      <c r="J53" s="44">
        <v>50189</v>
      </c>
      <c r="K53" s="44">
        <f>G53-4823</f>
        <v>25177</v>
      </c>
      <c r="L53" s="44">
        <v>45366</v>
      </c>
      <c r="M53" s="42">
        <v>9</v>
      </c>
      <c r="N53" s="42">
        <v>9</v>
      </c>
      <c r="O53" s="44">
        <f t="shared" ref="O53:O59" si="1">K53/M53</f>
        <v>2797.4444444444443</v>
      </c>
      <c r="P53" s="43">
        <f t="shared" ref="P53:P59" si="2">K53/M53/43560</f>
        <v>6.4220487705336185E-2</v>
      </c>
      <c r="Q53" s="42">
        <v>0</v>
      </c>
      <c r="R53" s="54" t="s">
        <v>332</v>
      </c>
      <c r="S53" t="s">
        <v>402</v>
      </c>
      <c r="T53" t="s">
        <v>334</v>
      </c>
    </row>
    <row r="54" spans="1:20">
      <c r="A54" t="s">
        <v>403</v>
      </c>
      <c r="B54" t="s">
        <v>404</v>
      </c>
      <c r="C54" s="48">
        <v>44320</v>
      </c>
      <c r="D54" s="44">
        <v>55000</v>
      </c>
      <c r="E54" t="s">
        <v>33</v>
      </c>
      <c r="F54" t="s">
        <v>32</v>
      </c>
      <c r="G54" s="44">
        <v>55000</v>
      </c>
      <c r="H54" s="44">
        <v>38600</v>
      </c>
      <c r="I54" s="47">
        <f t="shared" si="0"/>
        <v>70.181818181818173</v>
      </c>
      <c r="J54" s="44">
        <v>77202</v>
      </c>
      <c r="K54" s="44">
        <f>G54-26989</f>
        <v>28011</v>
      </c>
      <c r="L54" s="44">
        <v>50213</v>
      </c>
      <c r="M54" s="42">
        <v>10</v>
      </c>
      <c r="N54" s="42">
        <v>10</v>
      </c>
      <c r="O54" s="44">
        <f t="shared" si="1"/>
        <v>2801.1</v>
      </c>
      <c r="P54" s="43">
        <f t="shared" si="2"/>
        <v>6.4304407713498615E-2</v>
      </c>
      <c r="Q54" s="42">
        <v>0</v>
      </c>
      <c r="R54" s="54" t="s">
        <v>332</v>
      </c>
      <c r="S54" t="s">
        <v>405</v>
      </c>
      <c r="T54" t="s">
        <v>334</v>
      </c>
    </row>
    <row r="55" spans="1:20">
      <c r="A55" t="s">
        <v>406</v>
      </c>
      <c r="B55" t="s">
        <v>407</v>
      </c>
      <c r="C55" s="48">
        <v>43882</v>
      </c>
      <c r="D55" s="44">
        <v>115000</v>
      </c>
      <c r="E55" t="s">
        <v>33</v>
      </c>
      <c r="F55" t="s">
        <v>32</v>
      </c>
      <c r="G55" s="44">
        <v>115000</v>
      </c>
      <c r="H55" s="44">
        <v>63200</v>
      </c>
      <c r="I55" s="47">
        <f t="shared" si="0"/>
        <v>54.956521739130437</v>
      </c>
      <c r="J55" s="44">
        <v>126488</v>
      </c>
      <c r="K55" s="44">
        <f>G55-76275</f>
        <v>38725</v>
      </c>
      <c r="L55" s="44">
        <v>50213</v>
      </c>
      <c r="M55" s="42">
        <v>10</v>
      </c>
      <c r="N55" s="42">
        <v>10</v>
      </c>
      <c r="O55" s="44">
        <f t="shared" si="1"/>
        <v>3872.5</v>
      </c>
      <c r="P55" s="43">
        <f t="shared" si="2"/>
        <v>8.8900367309458217E-2</v>
      </c>
      <c r="Q55" s="42">
        <v>0</v>
      </c>
      <c r="R55" s="54" t="s">
        <v>332</v>
      </c>
      <c r="S55" t="s">
        <v>408</v>
      </c>
      <c r="T55" t="s">
        <v>334</v>
      </c>
    </row>
    <row r="56" spans="1:20">
      <c r="A56" t="s">
        <v>409</v>
      </c>
      <c r="B56" t="s">
        <v>410</v>
      </c>
      <c r="C56" s="48">
        <v>44273</v>
      </c>
      <c r="D56" s="44">
        <v>100000</v>
      </c>
      <c r="E56" t="s">
        <v>33</v>
      </c>
      <c r="F56" t="s">
        <v>32</v>
      </c>
      <c r="G56" s="44">
        <v>100000</v>
      </c>
      <c r="H56" s="44">
        <v>54200</v>
      </c>
      <c r="I56" s="47">
        <f t="shared" si="0"/>
        <v>54.2</v>
      </c>
      <c r="J56" s="44">
        <v>108467</v>
      </c>
      <c r="K56" s="44">
        <f>G56-58254</f>
        <v>41746</v>
      </c>
      <c r="L56" s="44">
        <v>50213</v>
      </c>
      <c r="M56" s="42">
        <v>10</v>
      </c>
      <c r="N56" s="42">
        <v>10</v>
      </c>
      <c r="O56" s="44">
        <f t="shared" si="1"/>
        <v>4174.6000000000004</v>
      </c>
      <c r="P56" s="43">
        <f t="shared" si="2"/>
        <v>9.5835629017447202E-2</v>
      </c>
      <c r="Q56" s="42">
        <v>0</v>
      </c>
      <c r="R56" s="54" t="s">
        <v>332</v>
      </c>
      <c r="S56" t="s">
        <v>411</v>
      </c>
      <c r="T56" t="s">
        <v>334</v>
      </c>
    </row>
    <row r="57" spans="1:20">
      <c r="A57" t="s">
        <v>412</v>
      </c>
      <c r="B57" t="s">
        <v>413</v>
      </c>
      <c r="C57" s="48">
        <v>44004</v>
      </c>
      <c r="D57" s="44">
        <v>320000</v>
      </c>
      <c r="E57" t="s">
        <v>33</v>
      </c>
      <c r="F57" t="s">
        <v>32</v>
      </c>
      <c r="G57" s="44">
        <v>320000</v>
      </c>
      <c r="H57" s="44">
        <v>0</v>
      </c>
      <c r="I57" s="47">
        <f t="shared" si="0"/>
        <v>0</v>
      </c>
      <c r="J57" s="44">
        <v>257069</v>
      </c>
      <c r="K57" s="44">
        <f>G57-223079</f>
        <v>96921</v>
      </c>
      <c r="L57" s="44">
        <v>33990</v>
      </c>
      <c r="M57" s="42">
        <v>5.88</v>
      </c>
      <c r="N57" s="42">
        <v>10.88</v>
      </c>
      <c r="O57" s="44">
        <f t="shared" si="1"/>
        <v>16483.163265306124</v>
      </c>
      <c r="P57" s="43">
        <f t="shared" si="2"/>
        <v>0.37840136054421775</v>
      </c>
      <c r="Q57" s="42">
        <v>0</v>
      </c>
      <c r="R57" s="54" t="s">
        <v>332</v>
      </c>
      <c r="S57" t="s">
        <v>414</v>
      </c>
      <c r="T57" t="s">
        <v>334</v>
      </c>
    </row>
    <row r="58" spans="1:20">
      <c r="A58" t="s">
        <v>415</v>
      </c>
      <c r="B58" t="s">
        <v>416</v>
      </c>
      <c r="C58" s="48">
        <v>44048</v>
      </c>
      <c r="D58" s="44">
        <v>174000</v>
      </c>
      <c r="E58" t="s">
        <v>33</v>
      </c>
      <c r="F58" t="s">
        <v>32</v>
      </c>
      <c r="G58" s="44">
        <v>174000</v>
      </c>
      <c r="H58" s="44">
        <v>88800</v>
      </c>
      <c r="I58" s="47">
        <f t="shared" si="0"/>
        <v>51.03448275862069</v>
      </c>
      <c r="J58" s="44">
        <v>177684</v>
      </c>
      <c r="K58" s="44">
        <f>G58-120572</f>
        <v>53428</v>
      </c>
      <c r="L58" s="44">
        <v>57112</v>
      </c>
      <c r="M58" s="42">
        <v>11.5</v>
      </c>
      <c r="N58" s="42">
        <v>11.5</v>
      </c>
      <c r="O58" s="44">
        <f t="shared" si="1"/>
        <v>4645.913043478261</v>
      </c>
      <c r="P58" s="43">
        <f t="shared" si="2"/>
        <v>0.10665548768315566</v>
      </c>
      <c r="Q58" s="42">
        <v>0</v>
      </c>
      <c r="R58" s="54" t="s">
        <v>332</v>
      </c>
      <c r="S58" t="s">
        <v>417</v>
      </c>
      <c r="T58" t="s">
        <v>334</v>
      </c>
    </row>
    <row r="59" spans="1:20">
      <c r="A59" t="s">
        <v>418</v>
      </c>
      <c r="B59" t="s">
        <v>419</v>
      </c>
      <c r="C59" s="48">
        <v>44169</v>
      </c>
      <c r="D59" s="44">
        <v>255000</v>
      </c>
      <c r="E59" t="s">
        <v>33</v>
      </c>
      <c r="F59" t="s">
        <v>32</v>
      </c>
      <c r="G59" s="44">
        <v>255000</v>
      </c>
      <c r="H59" s="44">
        <v>116500</v>
      </c>
      <c r="I59" s="47">
        <f t="shared" si="0"/>
        <v>45.686274509803923</v>
      </c>
      <c r="J59" s="44">
        <v>232973</v>
      </c>
      <c r="K59" s="92">
        <f>G59-176374</f>
        <v>78626</v>
      </c>
      <c r="L59" s="44">
        <v>56599</v>
      </c>
      <c r="M59" s="143">
        <v>12.12</v>
      </c>
      <c r="N59" s="42">
        <v>12.12</v>
      </c>
      <c r="O59" s="44">
        <f t="shared" si="1"/>
        <v>6487.2937293729374</v>
      </c>
      <c r="P59" s="43">
        <f t="shared" si="2"/>
        <v>0.14892777156503528</v>
      </c>
      <c r="Q59" s="42">
        <v>0</v>
      </c>
      <c r="R59" s="54" t="s">
        <v>332</v>
      </c>
      <c r="S59" t="s">
        <v>420</v>
      </c>
      <c r="T59" t="s">
        <v>334</v>
      </c>
    </row>
    <row r="60" spans="1:20">
      <c r="K60" s="144">
        <f>SUM(K53:K59)</f>
        <v>362634</v>
      </c>
      <c r="L60" s="144"/>
      <c r="M60" s="145">
        <f>SUM(M53:M59)</f>
        <v>68.5</v>
      </c>
      <c r="R60" s="54"/>
    </row>
    <row r="61" spans="1:20">
      <c r="N61" s="147">
        <f>K60/M60</f>
        <v>5293.9270072992704</v>
      </c>
      <c r="R61" s="54"/>
    </row>
    <row r="62" spans="1:20">
      <c r="R62" s="54"/>
    </row>
    <row r="63" spans="1:20" ht="15" thickBot="1">
      <c r="R63" s="54"/>
    </row>
    <row r="64" spans="1:20" ht="15" thickBot="1">
      <c r="K64" s="223" t="s">
        <v>421</v>
      </c>
      <c r="L64" s="224"/>
      <c r="M64" s="225"/>
      <c r="R64" s="54"/>
    </row>
    <row r="65" spans="1:20">
      <c r="A65" t="s">
        <v>422</v>
      </c>
      <c r="B65" t="s">
        <v>423</v>
      </c>
      <c r="C65" s="48">
        <v>44708</v>
      </c>
      <c r="D65" s="44">
        <v>161600</v>
      </c>
      <c r="E65" t="s">
        <v>33</v>
      </c>
      <c r="F65" t="s">
        <v>324</v>
      </c>
      <c r="G65" s="44">
        <v>161600</v>
      </c>
      <c r="H65" s="44">
        <v>81600</v>
      </c>
      <c r="I65" s="47">
        <f>H65/G65*100</f>
        <v>50.495049504950494</v>
      </c>
      <c r="J65" s="44">
        <v>163181</v>
      </c>
      <c r="K65" s="44">
        <f>G65-113091</f>
        <v>48509</v>
      </c>
      <c r="L65" s="44">
        <v>50090</v>
      </c>
      <c r="M65" s="42">
        <v>14.46</v>
      </c>
      <c r="N65" s="42">
        <v>14.46</v>
      </c>
      <c r="O65" s="44">
        <f>K65/M65</f>
        <v>3354.7026279391421</v>
      </c>
      <c r="P65" s="43">
        <f>K65/M65/43560</f>
        <v>7.7013375297041831E-2</v>
      </c>
      <c r="Q65" s="42">
        <v>0</v>
      </c>
      <c r="R65" s="54" t="s">
        <v>332</v>
      </c>
      <c r="S65" t="s">
        <v>424</v>
      </c>
      <c r="T65" t="s">
        <v>334</v>
      </c>
    </row>
    <row r="66" spans="1:20">
      <c r="A66" t="s">
        <v>425</v>
      </c>
      <c r="B66" t="s">
        <v>426</v>
      </c>
      <c r="C66" s="48">
        <v>44357</v>
      </c>
      <c r="D66" s="44">
        <v>99000</v>
      </c>
      <c r="E66" t="s">
        <v>33</v>
      </c>
      <c r="F66" t="s">
        <v>427</v>
      </c>
      <c r="G66" s="44">
        <v>99000</v>
      </c>
      <c r="H66" s="44">
        <v>72500</v>
      </c>
      <c r="I66" s="47">
        <f>H66/G66*100</f>
        <v>73.232323232323239</v>
      </c>
      <c r="J66" s="44">
        <v>145082</v>
      </c>
      <c r="K66" s="44">
        <f>G66-82734</f>
        <v>16266</v>
      </c>
      <c r="L66" s="44">
        <v>62348</v>
      </c>
      <c r="M66" s="42">
        <v>14.97</v>
      </c>
      <c r="N66" s="42">
        <v>14.97</v>
      </c>
      <c r="O66" s="44">
        <f>K66/M66</f>
        <v>1086.5731462925851</v>
      </c>
      <c r="P66" s="43">
        <f>K66/M66/43560</f>
        <v>2.494428710497211E-2</v>
      </c>
      <c r="Q66" s="42">
        <v>0</v>
      </c>
      <c r="R66" s="54" t="s">
        <v>332</v>
      </c>
      <c r="S66" t="s">
        <v>428</v>
      </c>
      <c r="T66" t="s">
        <v>334</v>
      </c>
    </row>
    <row r="67" spans="1:20">
      <c r="A67" t="s">
        <v>429</v>
      </c>
      <c r="B67" t="s">
        <v>430</v>
      </c>
      <c r="C67" s="48">
        <v>43847</v>
      </c>
      <c r="D67" s="44">
        <v>189000</v>
      </c>
      <c r="E67" t="s">
        <v>33</v>
      </c>
      <c r="F67" t="s">
        <v>32</v>
      </c>
      <c r="G67" s="44">
        <v>189000</v>
      </c>
      <c r="H67" s="44">
        <v>77500</v>
      </c>
      <c r="I67" s="47">
        <f>H67/G67*100</f>
        <v>41.005291005291006</v>
      </c>
      <c r="J67" s="44">
        <v>155060</v>
      </c>
      <c r="K67" s="44">
        <f>G67-91260</f>
        <v>97740</v>
      </c>
      <c r="L67" s="44">
        <v>63800</v>
      </c>
      <c r="M67" s="42">
        <v>15</v>
      </c>
      <c r="N67" s="42">
        <v>15</v>
      </c>
      <c r="O67" s="44">
        <f>K67/M67</f>
        <v>6516</v>
      </c>
      <c r="P67" s="43">
        <f>K67/M67/43560</f>
        <v>0.14958677685950414</v>
      </c>
      <c r="Q67" s="42">
        <v>0</v>
      </c>
      <c r="R67" s="54" t="s">
        <v>332</v>
      </c>
      <c r="S67" t="s">
        <v>431</v>
      </c>
      <c r="T67" t="s">
        <v>334</v>
      </c>
    </row>
    <row r="68" spans="1:20">
      <c r="A68" t="s">
        <v>432</v>
      </c>
      <c r="B68" t="s">
        <v>433</v>
      </c>
      <c r="C68" s="48">
        <v>44819</v>
      </c>
      <c r="D68" s="44">
        <v>549900</v>
      </c>
      <c r="E68" t="s">
        <v>152</v>
      </c>
      <c r="F68" t="s">
        <v>32</v>
      </c>
      <c r="G68" s="44">
        <v>549900</v>
      </c>
      <c r="H68" s="44">
        <v>206700</v>
      </c>
      <c r="I68" s="47">
        <f>H68/G68*100</f>
        <v>37.588652482269502</v>
      </c>
      <c r="J68" s="44">
        <v>413425</v>
      </c>
      <c r="K68" s="92">
        <f>G68-346825</f>
        <v>203075</v>
      </c>
      <c r="L68" s="44">
        <v>66600</v>
      </c>
      <c r="M68" s="143">
        <v>17</v>
      </c>
      <c r="N68" s="42">
        <v>17</v>
      </c>
      <c r="O68" s="44">
        <f>K68/M68</f>
        <v>11945.588235294117</v>
      </c>
      <c r="P68" s="43">
        <f>K68/M68/43560</f>
        <v>0.27423297142548481</v>
      </c>
      <c r="Q68" s="42">
        <v>0</v>
      </c>
      <c r="R68" s="54" t="s">
        <v>332</v>
      </c>
      <c r="S68" t="s">
        <v>434</v>
      </c>
      <c r="T68" t="s">
        <v>334</v>
      </c>
    </row>
    <row r="69" spans="1:20">
      <c r="K69" s="144">
        <f>SUM(K65:K68)</f>
        <v>365590</v>
      </c>
      <c r="L69" s="144"/>
      <c r="M69" s="145">
        <f>SUM(M65:M68)</f>
        <v>61.43</v>
      </c>
      <c r="R69" s="54"/>
    </row>
    <row r="70" spans="1:20">
      <c r="N70" s="147">
        <f>K69/M69</f>
        <v>5951.3267133322479</v>
      </c>
      <c r="R70" s="54"/>
    </row>
    <row r="71" spans="1:20">
      <c r="R71" s="54"/>
    </row>
    <row r="72" spans="1:20" ht="15" thickBot="1">
      <c r="R72" s="54"/>
    </row>
    <row r="73" spans="1:20" ht="15" thickBot="1">
      <c r="K73" s="223" t="s">
        <v>435</v>
      </c>
      <c r="L73" s="224"/>
      <c r="M73" s="225"/>
      <c r="R73" s="54"/>
    </row>
    <row r="74" spans="1:20">
      <c r="A74" t="s">
        <v>436</v>
      </c>
      <c r="B74" t="s">
        <v>437</v>
      </c>
      <c r="C74" s="48">
        <v>44057</v>
      </c>
      <c r="D74" s="44">
        <v>65000</v>
      </c>
      <c r="E74" t="s">
        <v>33</v>
      </c>
      <c r="F74" t="s">
        <v>32</v>
      </c>
      <c r="G74" s="44">
        <v>65000</v>
      </c>
      <c r="H74" s="44">
        <v>34000</v>
      </c>
      <c r="I74" s="47">
        <f t="shared" ref="I74:I80" si="3">H74/G74*100</f>
        <v>52.307692307692314</v>
      </c>
      <c r="J74" s="44">
        <v>68000</v>
      </c>
      <c r="K74" s="44">
        <f>G74-0</f>
        <v>65000</v>
      </c>
      <c r="L74" s="44">
        <v>68000</v>
      </c>
      <c r="M74" s="42">
        <v>17.5</v>
      </c>
      <c r="N74" s="42">
        <v>17.5</v>
      </c>
      <c r="O74" s="44">
        <f t="shared" ref="O74:O80" si="4">K74/M74</f>
        <v>3714.2857142857142</v>
      </c>
      <c r="P74" s="43">
        <f t="shared" ref="P74:P80" si="5">K74/M74/43560</f>
        <v>8.5268267086448898E-2</v>
      </c>
      <c r="Q74" s="42">
        <v>0</v>
      </c>
      <c r="R74" s="54" t="s">
        <v>332</v>
      </c>
      <c r="S74" t="s">
        <v>438</v>
      </c>
      <c r="T74" t="s">
        <v>334</v>
      </c>
    </row>
    <row r="75" spans="1:20">
      <c r="A75" t="s">
        <v>439</v>
      </c>
      <c r="B75" t="s">
        <v>440</v>
      </c>
      <c r="C75" s="48">
        <v>43955</v>
      </c>
      <c r="D75" s="44">
        <v>42500</v>
      </c>
      <c r="E75" t="s">
        <v>33</v>
      </c>
      <c r="F75" t="s">
        <v>32</v>
      </c>
      <c r="G75" s="44">
        <v>42500</v>
      </c>
      <c r="H75" s="44">
        <v>26900</v>
      </c>
      <c r="I75" s="47">
        <f t="shared" si="3"/>
        <v>63.294117647058826</v>
      </c>
      <c r="J75" s="44">
        <v>53820</v>
      </c>
      <c r="K75" s="44">
        <f>G75-0</f>
        <v>42500</v>
      </c>
      <c r="L75" s="44">
        <v>53820</v>
      </c>
      <c r="M75" s="42">
        <v>20</v>
      </c>
      <c r="N75" s="42">
        <v>19.77</v>
      </c>
      <c r="O75" s="44">
        <f t="shared" si="4"/>
        <v>2125</v>
      </c>
      <c r="P75" s="43">
        <f t="shared" si="5"/>
        <v>4.8783287419651059E-2</v>
      </c>
      <c r="Q75" s="42">
        <v>0</v>
      </c>
      <c r="R75" s="54" t="s">
        <v>332</v>
      </c>
      <c r="S75" t="s">
        <v>441</v>
      </c>
      <c r="T75" t="s">
        <v>334</v>
      </c>
    </row>
    <row r="76" spans="1:20">
      <c r="A76" t="s">
        <v>442</v>
      </c>
      <c r="B76" t="s">
        <v>443</v>
      </c>
      <c r="C76" s="48">
        <v>44195</v>
      </c>
      <c r="D76" s="44">
        <v>147500</v>
      </c>
      <c r="E76" t="s">
        <v>33</v>
      </c>
      <c r="F76" t="s">
        <v>32</v>
      </c>
      <c r="G76" s="44">
        <v>147500</v>
      </c>
      <c r="H76" s="44">
        <v>75100</v>
      </c>
      <c r="I76" s="47">
        <f t="shared" si="3"/>
        <v>50.915254237288131</v>
      </c>
      <c r="J76" s="44">
        <v>150288</v>
      </c>
      <c r="K76" s="44">
        <f>G76-86211</f>
        <v>61289</v>
      </c>
      <c r="L76" s="44">
        <v>64077</v>
      </c>
      <c r="M76" s="42">
        <v>20</v>
      </c>
      <c r="N76" s="42">
        <v>20</v>
      </c>
      <c r="O76" s="44">
        <f t="shared" si="4"/>
        <v>3064.45</v>
      </c>
      <c r="P76" s="43">
        <f t="shared" si="5"/>
        <v>7.0350091827364555E-2</v>
      </c>
      <c r="Q76" s="42">
        <v>0</v>
      </c>
      <c r="R76" s="54" t="s">
        <v>332</v>
      </c>
      <c r="S76" t="s">
        <v>444</v>
      </c>
      <c r="T76" t="s">
        <v>334</v>
      </c>
    </row>
    <row r="77" spans="1:20">
      <c r="A77" t="s">
        <v>445</v>
      </c>
      <c r="B77" t="s">
        <v>446</v>
      </c>
      <c r="C77" s="48">
        <v>44583</v>
      </c>
      <c r="D77" s="44">
        <v>131800</v>
      </c>
      <c r="E77" t="s">
        <v>33</v>
      </c>
      <c r="F77" t="s">
        <v>32</v>
      </c>
      <c r="G77" s="44">
        <v>131800</v>
      </c>
      <c r="H77" s="44">
        <v>69600</v>
      </c>
      <c r="I77" s="47">
        <f t="shared" si="3"/>
        <v>52.807283763277688</v>
      </c>
      <c r="J77" s="44">
        <v>139215</v>
      </c>
      <c r="K77" s="44">
        <f>G77-67455</f>
        <v>64345</v>
      </c>
      <c r="L77" s="44">
        <v>71760</v>
      </c>
      <c r="M77" s="42">
        <v>20</v>
      </c>
      <c r="N77" s="42">
        <v>20</v>
      </c>
      <c r="O77" s="44">
        <f t="shared" si="4"/>
        <v>3217.25</v>
      </c>
      <c r="P77" s="43">
        <f t="shared" si="5"/>
        <v>7.3857897153351698E-2</v>
      </c>
      <c r="Q77" s="42">
        <v>0</v>
      </c>
      <c r="R77" s="54" t="s">
        <v>332</v>
      </c>
      <c r="S77" t="s">
        <v>447</v>
      </c>
      <c r="T77" t="s">
        <v>334</v>
      </c>
    </row>
    <row r="78" spans="1:20">
      <c r="A78" t="s">
        <v>448</v>
      </c>
      <c r="B78" t="s">
        <v>437</v>
      </c>
      <c r="C78" s="48">
        <v>44057</v>
      </c>
      <c r="D78" s="44">
        <v>65000</v>
      </c>
      <c r="E78" t="s">
        <v>33</v>
      </c>
      <c r="F78" t="s">
        <v>32</v>
      </c>
      <c r="G78" s="44">
        <v>65000</v>
      </c>
      <c r="H78" s="44">
        <v>35900</v>
      </c>
      <c r="I78" s="47">
        <f t="shared" si="3"/>
        <v>55.230769230769226</v>
      </c>
      <c r="J78" s="44">
        <v>71760</v>
      </c>
      <c r="K78" s="44">
        <f>G78-0</f>
        <v>65000</v>
      </c>
      <c r="L78" s="44">
        <v>71760</v>
      </c>
      <c r="M78" s="42">
        <v>20</v>
      </c>
      <c r="N78" s="42">
        <v>20</v>
      </c>
      <c r="O78" s="44">
        <f t="shared" si="4"/>
        <v>3250</v>
      </c>
      <c r="P78" s="43">
        <f t="shared" si="5"/>
        <v>7.4609733700642791E-2</v>
      </c>
      <c r="Q78" s="42">
        <v>0</v>
      </c>
      <c r="R78" s="54" t="s">
        <v>332</v>
      </c>
      <c r="S78" t="s">
        <v>438</v>
      </c>
      <c r="T78" t="s">
        <v>334</v>
      </c>
    </row>
    <row r="79" spans="1:20">
      <c r="A79" t="s">
        <v>449</v>
      </c>
      <c r="B79" t="s">
        <v>450</v>
      </c>
      <c r="C79" s="48">
        <v>44000</v>
      </c>
      <c r="D79" s="44">
        <v>100000</v>
      </c>
      <c r="E79" t="s">
        <v>33</v>
      </c>
      <c r="F79" t="s">
        <v>32</v>
      </c>
      <c r="G79" s="44">
        <v>100000</v>
      </c>
      <c r="H79" s="44">
        <v>48900</v>
      </c>
      <c r="I79" s="47">
        <f t="shared" si="3"/>
        <v>48.9</v>
      </c>
      <c r="J79" s="44">
        <v>97798</v>
      </c>
      <c r="K79" s="44">
        <f>G79-26038</f>
        <v>73962</v>
      </c>
      <c r="L79" s="44">
        <v>71760</v>
      </c>
      <c r="M79" s="42">
        <v>20</v>
      </c>
      <c r="N79" s="42">
        <v>20</v>
      </c>
      <c r="O79" s="44">
        <f t="shared" si="4"/>
        <v>3698.1</v>
      </c>
      <c r="P79" s="43">
        <f t="shared" si="5"/>
        <v>8.4896694214876028E-2</v>
      </c>
      <c r="Q79" s="42">
        <v>0</v>
      </c>
      <c r="R79" s="54" t="s">
        <v>332</v>
      </c>
      <c r="S79" t="s">
        <v>451</v>
      </c>
      <c r="T79" t="s">
        <v>334</v>
      </c>
    </row>
    <row r="80" spans="1:20">
      <c r="A80" t="s">
        <v>452</v>
      </c>
      <c r="B80" t="s">
        <v>453</v>
      </c>
      <c r="C80" s="48">
        <v>44629</v>
      </c>
      <c r="D80" s="44">
        <v>150000</v>
      </c>
      <c r="E80" t="s">
        <v>33</v>
      </c>
      <c r="F80" t="s">
        <v>32</v>
      </c>
      <c r="G80" s="44">
        <v>150000</v>
      </c>
      <c r="H80" s="44">
        <v>47400</v>
      </c>
      <c r="I80" s="47">
        <f t="shared" si="3"/>
        <v>31.6</v>
      </c>
      <c r="J80" s="44">
        <v>94728</v>
      </c>
      <c r="K80" s="92">
        <f>G80-22968</f>
        <v>127032</v>
      </c>
      <c r="L80" s="44">
        <v>71760</v>
      </c>
      <c r="M80" s="143">
        <v>20</v>
      </c>
      <c r="N80" s="42">
        <v>20</v>
      </c>
      <c r="O80" s="44">
        <f t="shared" si="4"/>
        <v>6351.6</v>
      </c>
      <c r="P80" s="43">
        <f t="shared" si="5"/>
        <v>0.14581267217630856</v>
      </c>
      <c r="Q80" s="42">
        <v>0</v>
      </c>
      <c r="R80" s="54" t="s">
        <v>332</v>
      </c>
      <c r="S80" t="s">
        <v>454</v>
      </c>
      <c r="T80" t="s">
        <v>334</v>
      </c>
    </row>
    <row r="81" spans="1:20">
      <c r="K81" s="144">
        <f>SUM(K74:K80)</f>
        <v>499128</v>
      </c>
      <c r="L81" s="144"/>
      <c r="M81" s="145">
        <f>SUM(M74:M80)</f>
        <v>137.5</v>
      </c>
      <c r="R81" s="54"/>
    </row>
    <row r="82" spans="1:20">
      <c r="N82" s="147">
        <f>K81/M81</f>
        <v>3630.0218181818182</v>
      </c>
      <c r="R82" s="54"/>
    </row>
    <row r="83" spans="1:20" ht="15" thickBot="1">
      <c r="R83" s="54"/>
    </row>
    <row r="84" spans="1:20" ht="15" thickBot="1">
      <c r="K84" s="223" t="s">
        <v>455</v>
      </c>
      <c r="L84" s="224"/>
      <c r="M84" s="225"/>
      <c r="R84" s="54"/>
    </row>
    <row r="85" spans="1:20">
      <c r="A85" t="s">
        <v>456</v>
      </c>
      <c r="B85" t="s">
        <v>457</v>
      </c>
      <c r="C85" s="48">
        <v>44687</v>
      </c>
      <c r="D85" s="44">
        <v>135000</v>
      </c>
      <c r="E85" t="s">
        <v>33</v>
      </c>
      <c r="F85" t="s">
        <v>32</v>
      </c>
      <c r="G85" s="44">
        <v>135000</v>
      </c>
      <c r="H85" s="44">
        <v>38600</v>
      </c>
      <c r="I85" s="47">
        <f>H85/G85*100</f>
        <v>28.592592592592592</v>
      </c>
      <c r="J85" s="44">
        <v>77103</v>
      </c>
      <c r="K85" s="44">
        <f>G85-0</f>
        <v>135000</v>
      </c>
      <c r="L85" s="44">
        <v>77103</v>
      </c>
      <c r="M85" s="42">
        <v>23.5</v>
      </c>
      <c r="N85" s="42">
        <v>23.5</v>
      </c>
      <c r="O85" s="44">
        <f>K85/M85</f>
        <v>5744.6808510638302</v>
      </c>
      <c r="P85" s="43">
        <f>K85/M85/43560</f>
        <v>0.13187972569017056</v>
      </c>
      <c r="Q85" s="42">
        <v>0</v>
      </c>
      <c r="R85" s="54" t="s">
        <v>332</v>
      </c>
      <c r="S85" t="s">
        <v>458</v>
      </c>
      <c r="T85" t="s">
        <v>334</v>
      </c>
    </row>
    <row r="86" spans="1:20">
      <c r="A86" t="s">
        <v>459</v>
      </c>
      <c r="B86" t="s">
        <v>460</v>
      </c>
      <c r="C86" s="48">
        <v>44627</v>
      </c>
      <c r="D86" s="44">
        <v>675000</v>
      </c>
      <c r="E86" t="s">
        <v>33</v>
      </c>
      <c r="F86" t="s">
        <v>32</v>
      </c>
      <c r="G86" s="44">
        <v>675000</v>
      </c>
      <c r="H86" s="44">
        <v>262600</v>
      </c>
      <c r="I86" s="47">
        <f>H86/G86*100</f>
        <v>38.903703703703698</v>
      </c>
      <c r="J86" s="44">
        <v>525290</v>
      </c>
      <c r="K86" s="92">
        <f>G86-435572</f>
        <v>239428</v>
      </c>
      <c r="L86" s="44">
        <v>89718</v>
      </c>
      <c r="M86" s="143">
        <v>25</v>
      </c>
      <c r="N86" s="42">
        <v>25</v>
      </c>
      <c r="O86" s="44">
        <f>K86/M86</f>
        <v>9577.1200000000008</v>
      </c>
      <c r="P86" s="43">
        <f>K86/M86/43560</f>
        <v>0.21986042240587697</v>
      </c>
      <c r="Q86" s="42">
        <v>0</v>
      </c>
      <c r="R86" s="54" t="s">
        <v>332</v>
      </c>
      <c r="S86" t="s">
        <v>461</v>
      </c>
      <c r="T86" t="s">
        <v>334</v>
      </c>
    </row>
    <row r="87" spans="1:20">
      <c r="K87" s="144">
        <f>SUM(K85:K86)</f>
        <v>374428</v>
      </c>
      <c r="L87" s="144"/>
      <c r="M87" s="145">
        <f>SUM(M85:M86)</f>
        <v>48.5</v>
      </c>
      <c r="R87" s="54"/>
    </row>
    <row r="88" spans="1:20">
      <c r="N88" s="147">
        <f>K87/M87</f>
        <v>7720.1649484536083</v>
      </c>
      <c r="R88" s="54"/>
    </row>
    <row r="89" spans="1:20" ht="15" thickBot="1">
      <c r="R89" s="54"/>
    </row>
    <row r="90" spans="1:20" ht="15" thickBot="1">
      <c r="K90" s="223" t="s">
        <v>462</v>
      </c>
      <c r="L90" s="224"/>
      <c r="M90" s="225"/>
      <c r="R90" s="54"/>
    </row>
    <row r="91" spans="1:20" ht="15" thickBot="1">
      <c r="A91" t="s">
        <v>463</v>
      </c>
      <c r="B91" t="s">
        <v>464</v>
      </c>
      <c r="C91" s="48">
        <v>44414</v>
      </c>
      <c r="D91" s="44">
        <v>308000</v>
      </c>
      <c r="E91" t="s">
        <v>33</v>
      </c>
      <c r="F91" t="s">
        <v>32</v>
      </c>
      <c r="G91" s="44">
        <v>308000</v>
      </c>
      <c r="H91" s="44">
        <v>125300</v>
      </c>
      <c r="I91" s="47">
        <f>H91/G91*100</f>
        <v>40.68181818181818</v>
      </c>
      <c r="J91" s="44">
        <v>250520</v>
      </c>
      <c r="K91" s="92">
        <f>G91-154569</f>
        <v>153431</v>
      </c>
      <c r="L91" s="44">
        <v>95951</v>
      </c>
      <c r="M91" s="143">
        <v>29.95</v>
      </c>
      <c r="N91" s="42">
        <v>29.95</v>
      </c>
      <c r="O91" s="44">
        <f>K91/M91</f>
        <v>5122.9048414023373</v>
      </c>
      <c r="P91" s="43">
        <f>K91/M91/43560</f>
        <v>0.11760571261254218</v>
      </c>
      <c r="Q91" s="42">
        <v>0</v>
      </c>
      <c r="R91" s="54" t="s">
        <v>332</v>
      </c>
      <c r="S91" t="s">
        <v>465</v>
      </c>
      <c r="T91" t="s">
        <v>334</v>
      </c>
    </row>
    <row r="92" spans="1:20" ht="15" thickBot="1">
      <c r="K92" s="144">
        <f>SUM(K91)</f>
        <v>153431</v>
      </c>
      <c r="L92" s="144"/>
      <c r="M92" s="145">
        <f>SUM(M91)</f>
        <v>29.95</v>
      </c>
      <c r="P92" s="148"/>
      <c r="R92" s="54"/>
    </row>
    <row r="93" spans="1:20">
      <c r="N93" s="147">
        <f>K92/M92</f>
        <v>5122.9048414023373</v>
      </c>
      <c r="R93" s="54"/>
    </row>
    <row r="94" spans="1:20" ht="15" thickBot="1">
      <c r="R94" s="54"/>
    </row>
    <row r="95" spans="1:20" ht="15" thickBot="1">
      <c r="K95" s="223" t="s">
        <v>466</v>
      </c>
      <c r="L95" s="224"/>
      <c r="M95" s="225"/>
      <c r="R95" s="54"/>
    </row>
    <row r="96" spans="1:20">
      <c r="A96" t="s">
        <v>467</v>
      </c>
      <c r="B96" t="s">
        <v>105</v>
      </c>
      <c r="C96" s="48">
        <v>44568</v>
      </c>
      <c r="D96" s="44">
        <v>120900</v>
      </c>
      <c r="E96" t="s">
        <v>33</v>
      </c>
      <c r="F96" t="s">
        <v>32</v>
      </c>
      <c r="G96" s="44">
        <v>120900</v>
      </c>
      <c r="H96" s="44">
        <v>60500</v>
      </c>
      <c r="I96" s="47">
        <f t="shared" ref="I96:I102" si="6">H96/G96*100</f>
        <v>50.041356492969392</v>
      </c>
      <c r="J96" s="44">
        <v>120925</v>
      </c>
      <c r="K96" s="44">
        <f>G96-0</f>
        <v>120900</v>
      </c>
      <c r="L96" s="44">
        <v>120925</v>
      </c>
      <c r="M96" s="42">
        <v>38.72</v>
      </c>
      <c r="N96" s="42">
        <v>38.72</v>
      </c>
      <c r="O96" s="44">
        <f t="shared" ref="O96:O102" si="7">K96/M96</f>
        <v>3122.4173553719011</v>
      </c>
      <c r="P96" s="43">
        <f t="shared" ref="P96:P102" si="8">K96/M96/43560</f>
        <v>7.1680839195865501E-2</v>
      </c>
      <c r="Q96" s="42">
        <v>0</v>
      </c>
      <c r="R96" s="54" t="s">
        <v>332</v>
      </c>
      <c r="S96" t="s">
        <v>468</v>
      </c>
      <c r="T96" t="s">
        <v>334</v>
      </c>
    </row>
    <row r="97" spans="1:20">
      <c r="A97" t="s">
        <v>469</v>
      </c>
      <c r="B97" t="s">
        <v>470</v>
      </c>
      <c r="C97" s="48">
        <v>44029</v>
      </c>
      <c r="D97" s="44">
        <v>240000</v>
      </c>
      <c r="E97" t="s">
        <v>33</v>
      </c>
      <c r="F97" t="s">
        <v>32</v>
      </c>
      <c r="G97" s="44">
        <v>240000</v>
      </c>
      <c r="H97" s="44">
        <v>118300</v>
      </c>
      <c r="I97" s="47">
        <f t="shared" si="6"/>
        <v>49.291666666666664</v>
      </c>
      <c r="J97" s="44">
        <v>236685</v>
      </c>
      <c r="K97" s="44">
        <f>G97-108860</f>
        <v>131140</v>
      </c>
      <c r="L97" s="44">
        <v>127825</v>
      </c>
      <c r="M97" s="42">
        <v>39.119999999999997</v>
      </c>
      <c r="N97" s="42">
        <v>39.119999999999997</v>
      </c>
      <c r="O97" s="44">
        <f t="shared" si="7"/>
        <v>3352.2494887525563</v>
      </c>
      <c r="P97" s="43">
        <f t="shared" si="8"/>
        <v>7.6957058970444359E-2</v>
      </c>
      <c r="Q97" s="42">
        <v>0</v>
      </c>
      <c r="R97" s="54" t="s">
        <v>332</v>
      </c>
      <c r="S97" t="s">
        <v>471</v>
      </c>
      <c r="T97" t="s">
        <v>334</v>
      </c>
    </row>
    <row r="98" spans="1:20">
      <c r="A98" t="s">
        <v>472</v>
      </c>
      <c r="B98" t="s">
        <v>473</v>
      </c>
      <c r="C98" s="48">
        <v>44726</v>
      </c>
      <c r="D98" s="44">
        <v>131000</v>
      </c>
      <c r="E98" t="s">
        <v>33</v>
      </c>
      <c r="F98" t="s">
        <v>32</v>
      </c>
      <c r="G98" s="44">
        <v>131000</v>
      </c>
      <c r="H98" s="44">
        <v>59400</v>
      </c>
      <c r="I98" s="47">
        <f t="shared" si="6"/>
        <v>45.343511450381676</v>
      </c>
      <c r="J98" s="44">
        <v>118890</v>
      </c>
      <c r="K98" s="44">
        <f>G98-0</f>
        <v>131000</v>
      </c>
      <c r="L98" s="44">
        <v>118890</v>
      </c>
      <c r="M98" s="42">
        <v>39.97</v>
      </c>
      <c r="N98" s="42">
        <v>39.97</v>
      </c>
      <c r="O98" s="44">
        <f t="shared" si="7"/>
        <v>3277.4580935701779</v>
      </c>
      <c r="P98" s="43">
        <f t="shared" si="8"/>
        <v>7.5240084792703804E-2</v>
      </c>
      <c r="Q98" s="42">
        <v>0</v>
      </c>
      <c r="R98" s="54" t="s">
        <v>332</v>
      </c>
      <c r="S98" t="s">
        <v>474</v>
      </c>
      <c r="T98" t="s">
        <v>334</v>
      </c>
    </row>
    <row r="99" spans="1:20">
      <c r="A99" t="s">
        <v>475</v>
      </c>
      <c r="B99" t="s">
        <v>197</v>
      </c>
      <c r="C99" s="48">
        <v>44145</v>
      </c>
      <c r="D99" s="44">
        <v>159000</v>
      </c>
      <c r="E99" t="s">
        <v>33</v>
      </c>
      <c r="F99" t="s">
        <v>32</v>
      </c>
      <c r="G99" s="44">
        <v>159000</v>
      </c>
      <c r="H99" s="44">
        <v>58500</v>
      </c>
      <c r="I99" s="47">
        <f t="shared" si="6"/>
        <v>36.79245283018868</v>
      </c>
      <c r="J99" s="44">
        <v>117000</v>
      </c>
      <c r="K99" s="44">
        <f>G99-0</f>
        <v>159000</v>
      </c>
      <c r="L99" s="44">
        <v>117000</v>
      </c>
      <c r="M99" s="42">
        <v>40</v>
      </c>
      <c r="N99" s="42">
        <v>40</v>
      </c>
      <c r="O99" s="44">
        <f t="shared" si="7"/>
        <v>3975</v>
      </c>
      <c r="P99" s="43">
        <f t="shared" si="8"/>
        <v>9.1253443526170805E-2</v>
      </c>
      <c r="Q99" s="42">
        <v>0</v>
      </c>
      <c r="R99" s="54" t="s">
        <v>332</v>
      </c>
      <c r="S99" t="s">
        <v>476</v>
      </c>
      <c r="T99" t="s">
        <v>334</v>
      </c>
    </row>
    <row r="100" spans="1:20">
      <c r="A100" t="s">
        <v>477</v>
      </c>
      <c r="B100" t="s">
        <v>478</v>
      </c>
      <c r="C100" s="48">
        <v>44154</v>
      </c>
      <c r="D100" s="44">
        <v>420000</v>
      </c>
      <c r="E100" t="s">
        <v>33</v>
      </c>
      <c r="F100" t="s">
        <v>32</v>
      </c>
      <c r="G100" s="44">
        <v>420000</v>
      </c>
      <c r="H100" s="44">
        <v>185500</v>
      </c>
      <c r="I100" s="47">
        <f t="shared" si="6"/>
        <v>44.166666666666664</v>
      </c>
      <c r="J100" s="44">
        <v>370905</v>
      </c>
      <c r="K100" s="44">
        <f>G100-253905</f>
        <v>166095</v>
      </c>
      <c r="L100" s="44">
        <v>117000</v>
      </c>
      <c r="M100" s="42">
        <v>40</v>
      </c>
      <c r="N100" s="42">
        <v>40</v>
      </c>
      <c r="O100" s="44">
        <f t="shared" si="7"/>
        <v>4152.375</v>
      </c>
      <c r="P100" s="43">
        <f t="shared" si="8"/>
        <v>9.532541322314049E-2</v>
      </c>
      <c r="Q100" s="42">
        <v>0</v>
      </c>
      <c r="R100" s="54" t="s">
        <v>332</v>
      </c>
      <c r="S100" t="s">
        <v>479</v>
      </c>
      <c r="T100" t="s">
        <v>334</v>
      </c>
    </row>
    <row r="101" spans="1:20">
      <c r="A101" t="s">
        <v>480</v>
      </c>
      <c r="B101" t="s">
        <v>481</v>
      </c>
      <c r="C101" s="48">
        <v>44530</v>
      </c>
      <c r="D101" s="44">
        <v>165000</v>
      </c>
      <c r="E101" t="s">
        <v>33</v>
      </c>
      <c r="F101" t="s">
        <v>324</v>
      </c>
      <c r="G101" s="44">
        <v>165000</v>
      </c>
      <c r="H101" s="44">
        <v>82700</v>
      </c>
      <c r="I101" s="47">
        <f t="shared" si="6"/>
        <v>50.121212121212125</v>
      </c>
      <c r="J101" s="44">
        <v>165358</v>
      </c>
      <c r="K101" s="44">
        <f>G101-45958</f>
        <v>119042</v>
      </c>
      <c r="L101" s="44">
        <v>119400</v>
      </c>
      <c r="M101" s="42">
        <v>40.299999999999997</v>
      </c>
      <c r="N101" s="42">
        <v>40.299999999999997</v>
      </c>
      <c r="O101" s="44">
        <f t="shared" si="7"/>
        <v>2953.8957816377174</v>
      </c>
      <c r="P101" s="43">
        <f t="shared" si="8"/>
        <v>6.7812116199212985E-2</v>
      </c>
      <c r="Q101" s="42">
        <v>0</v>
      </c>
      <c r="R101" s="54" t="s">
        <v>332</v>
      </c>
      <c r="S101" t="s">
        <v>482</v>
      </c>
      <c r="T101" t="s">
        <v>334</v>
      </c>
    </row>
    <row r="102" spans="1:20">
      <c r="A102" t="s">
        <v>483</v>
      </c>
      <c r="B102" t="s">
        <v>484</v>
      </c>
      <c r="C102" s="48">
        <v>44649</v>
      </c>
      <c r="D102" s="44">
        <v>202500</v>
      </c>
      <c r="E102" t="s">
        <v>33</v>
      </c>
      <c r="F102" t="s">
        <v>32</v>
      </c>
      <c r="G102" s="44">
        <v>202500</v>
      </c>
      <c r="H102" s="44">
        <v>60800</v>
      </c>
      <c r="I102" s="47">
        <f t="shared" si="6"/>
        <v>30.02469135802469</v>
      </c>
      <c r="J102" s="44">
        <v>121500</v>
      </c>
      <c r="K102" s="92">
        <f>G102-0</f>
        <v>202500</v>
      </c>
      <c r="L102" s="44">
        <v>121500</v>
      </c>
      <c r="M102" s="143">
        <v>40.5</v>
      </c>
      <c r="N102" s="42">
        <v>40.5</v>
      </c>
      <c r="O102" s="44">
        <f t="shared" si="7"/>
        <v>5000</v>
      </c>
      <c r="P102" s="43">
        <f t="shared" si="8"/>
        <v>0.1147842056932966</v>
      </c>
      <c r="Q102" s="42">
        <v>0</v>
      </c>
      <c r="R102" s="54" t="s">
        <v>332</v>
      </c>
      <c r="S102" t="s">
        <v>485</v>
      </c>
      <c r="T102" t="s">
        <v>334</v>
      </c>
    </row>
    <row r="103" spans="1:20">
      <c r="K103" s="144">
        <f>SUM(K96:K102)</f>
        <v>1029677</v>
      </c>
      <c r="L103" s="144"/>
      <c r="M103" s="145">
        <f>SUM(M96:M102)</f>
        <v>278.61</v>
      </c>
      <c r="R103" s="54"/>
    </row>
    <row r="104" spans="1:20" ht="15" thickBot="1">
      <c r="N104" s="147">
        <f>K103/M103</f>
        <v>3695.7646889917805</v>
      </c>
      <c r="R104" s="54"/>
    </row>
    <row r="105" spans="1:20" ht="15" thickBot="1">
      <c r="K105" s="223" t="s">
        <v>486</v>
      </c>
      <c r="L105" s="224"/>
      <c r="M105" s="225"/>
      <c r="R105" s="54"/>
    </row>
    <row r="106" spans="1:20">
      <c r="A106" t="s">
        <v>487</v>
      </c>
      <c r="B106" t="s">
        <v>488</v>
      </c>
      <c r="C106" s="48">
        <v>44365</v>
      </c>
      <c r="D106" s="44">
        <v>240000</v>
      </c>
      <c r="E106" t="s">
        <v>33</v>
      </c>
      <c r="F106" t="s">
        <v>32</v>
      </c>
      <c r="G106" s="44">
        <v>240000</v>
      </c>
      <c r="H106" s="44">
        <v>114900</v>
      </c>
      <c r="I106" s="47">
        <f>H106/G106*100</f>
        <v>47.875</v>
      </c>
      <c r="J106" s="44">
        <v>229711</v>
      </c>
      <c r="K106" s="92">
        <f>G106-71911</f>
        <v>168089</v>
      </c>
      <c r="L106" s="44">
        <v>157800</v>
      </c>
      <c r="M106" s="143">
        <v>53.26</v>
      </c>
      <c r="N106" s="42">
        <v>53.26</v>
      </c>
      <c r="O106" s="44">
        <f>K106/M106</f>
        <v>3156.008261359369</v>
      </c>
      <c r="P106" s="43">
        <f>K106/M106/43560</f>
        <v>7.2451980288323434E-2</v>
      </c>
      <c r="Q106" s="42">
        <v>0</v>
      </c>
      <c r="R106" s="54" t="s">
        <v>332</v>
      </c>
      <c r="S106" t="s">
        <v>489</v>
      </c>
      <c r="T106" t="s">
        <v>334</v>
      </c>
    </row>
    <row r="107" spans="1:20">
      <c r="K107" s="144">
        <f>SUM(K106)</f>
        <v>168089</v>
      </c>
      <c r="L107" s="144"/>
      <c r="M107" s="145">
        <f>SUM(M106)</f>
        <v>53.26</v>
      </c>
      <c r="R107" s="54"/>
    </row>
    <row r="108" spans="1:20">
      <c r="N108" s="147">
        <f>K107/M107</f>
        <v>3156.008261359369</v>
      </c>
      <c r="R108" s="54"/>
    </row>
    <row r="109" spans="1:20">
      <c r="R109" s="54"/>
    </row>
    <row r="110" spans="1:20" ht="15" thickBot="1">
      <c r="R110" s="54"/>
    </row>
    <row r="111" spans="1:20" ht="15" thickBot="1">
      <c r="K111" s="223" t="s">
        <v>490</v>
      </c>
      <c r="L111" s="224"/>
      <c r="M111" s="225"/>
      <c r="R111" s="54"/>
    </row>
    <row r="112" spans="1:20">
      <c r="A112" t="s">
        <v>491</v>
      </c>
      <c r="B112" t="s">
        <v>492</v>
      </c>
      <c r="C112" s="48">
        <v>44209</v>
      </c>
      <c r="D112" s="44">
        <v>285000</v>
      </c>
      <c r="E112" t="s">
        <v>33</v>
      </c>
      <c r="F112" t="s">
        <v>32</v>
      </c>
      <c r="G112" s="44">
        <v>285000</v>
      </c>
      <c r="H112" s="44">
        <v>138600</v>
      </c>
      <c r="I112" s="47">
        <f>H112/G112*100</f>
        <v>48.631578947368418</v>
      </c>
      <c r="J112" s="44">
        <v>277200</v>
      </c>
      <c r="K112" s="92">
        <f>G112-0</f>
        <v>285000</v>
      </c>
      <c r="L112" s="44">
        <v>277200</v>
      </c>
      <c r="M112" s="143">
        <v>100</v>
      </c>
      <c r="N112" s="42">
        <v>100</v>
      </c>
      <c r="O112" s="44">
        <f>K112/M112</f>
        <v>2850</v>
      </c>
      <c r="P112" s="43">
        <f>K112/M112/43560</f>
        <v>6.5426997245179058E-2</v>
      </c>
      <c r="Q112" s="42">
        <v>0</v>
      </c>
      <c r="R112" s="54" t="s">
        <v>332</v>
      </c>
      <c r="S112" t="s">
        <v>493</v>
      </c>
      <c r="T112" t="s">
        <v>334</v>
      </c>
    </row>
    <row r="113" spans="1:20">
      <c r="A113" s="59"/>
      <c r="B113" s="59"/>
      <c r="C113" s="73"/>
      <c r="D113" s="65"/>
      <c r="E113" s="59"/>
      <c r="F113" s="59"/>
      <c r="G113" s="65"/>
      <c r="H113" s="65"/>
      <c r="I113" s="69"/>
      <c r="J113" s="65"/>
      <c r="K113" s="65">
        <f>SUM(K112)</f>
        <v>285000</v>
      </c>
      <c r="L113" s="65"/>
      <c r="M113" s="84">
        <f>SUM(M112)</f>
        <v>100</v>
      </c>
      <c r="N113" s="84"/>
      <c r="O113" s="65"/>
      <c r="P113" s="88"/>
      <c r="Q113" s="84"/>
      <c r="R113" s="60"/>
      <c r="S113" s="59"/>
      <c r="T113" s="59"/>
    </row>
    <row r="114" spans="1:20">
      <c r="A114" s="59"/>
      <c r="B114" s="59"/>
      <c r="C114" s="73"/>
      <c r="D114" s="65"/>
      <c r="E114" s="59"/>
      <c r="F114" s="59"/>
      <c r="G114" s="65"/>
      <c r="H114" s="65"/>
      <c r="I114" s="69"/>
      <c r="J114" s="65"/>
      <c r="K114" s="65"/>
      <c r="L114" s="65"/>
      <c r="M114" s="84"/>
      <c r="N114" s="149">
        <f>K113/M113</f>
        <v>2850</v>
      </c>
      <c r="O114" s="65"/>
      <c r="P114" s="88"/>
      <c r="Q114" s="84"/>
      <c r="R114" s="60"/>
      <c r="S114" s="59"/>
      <c r="T114" s="59"/>
    </row>
    <row r="115" spans="1:20">
      <c r="A115" s="61"/>
      <c r="B115" s="61"/>
      <c r="C115" s="74"/>
      <c r="D115" s="66"/>
      <c r="E115" s="61"/>
      <c r="F115" s="61"/>
      <c r="G115" s="66"/>
      <c r="H115" s="66"/>
      <c r="I115" s="70"/>
      <c r="J115" s="66"/>
      <c r="K115" s="66"/>
      <c r="L115" s="66"/>
      <c r="M115" s="85"/>
      <c r="N115" s="85"/>
      <c r="O115" s="66"/>
      <c r="P115" s="89"/>
      <c r="Q115" s="85"/>
      <c r="R115" s="62"/>
      <c r="S115" s="61"/>
      <c r="T115" s="61"/>
    </row>
  </sheetData>
  <mergeCells count="14">
    <mergeCell ref="K105:M105"/>
    <mergeCell ref="K111:M111"/>
    <mergeCell ref="K52:M52"/>
    <mergeCell ref="K64:M64"/>
    <mergeCell ref="K73:M73"/>
    <mergeCell ref="K84:M84"/>
    <mergeCell ref="K90:M90"/>
    <mergeCell ref="K95:M95"/>
    <mergeCell ref="K45:M45"/>
    <mergeCell ref="K6:M6"/>
    <mergeCell ref="K13:M13"/>
    <mergeCell ref="K20:M20"/>
    <mergeCell ref="K27:M27"/>
    <mergeCell ref="K36:M36"/>
  </mergeCells>
  <conditionalFormatting sqref="A6:K6 A13:K13 A20:K20 A27:K27 A36:K36 A45:K45 A52:K52 A64:K64 A73:K73 A84:K84 A90:K90 A95:K95 A105:K105 A111:K111 A2:T5 A7:T12 A14:T19 A21:T26 A28:T35 A37:T44 A46:T51 A53:T63 A65:T72 A74:T83 A85:T89 A91:T94 A96:T104 A106:T110 A112:T113 N6:T6 N13:T13 N20:T20 N27:T27 N36:T36 N45:T45 N52:T52 N64:T64 N73:T73 N84:T84 N90:T90 N95:T95 N105:T105 N111:T1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D25" sqref="D25"/>
    </sheetView>
  </sheetViews>
  <sheetFormatPr defaultRowHeight="14.4"/>
  <cols>
    <col min="7" max="7" width="10.109375" bestFit="1" customWidth="1"/>
    <col min="9" max="9" width="11.109375" bestFit="1" customWidth="1"/>
  </cols>
  <sheetData>
    <row r="1" spans="1:9">
      <c r="B1" s="3" t="s">
        <v>494</v>
      </c>
      <c r="C1" s="3" t="s">
        <v>495</v>
      </c>
      <c r="E1" s="3" t="s">
        <v>496</v>
      </c>
      <c r="F1" s="3" t="s">
        <v>497</v>
      </c>
      <c r="G1" s="3" t="s">
        <v>494</v>
      </c>
      <c r="H1" s="3" t="s">
        <v>498</v>
      </c>
    </row>
    <row r="2" spans="1:9">
      <c r="A2" s="126">
        <v>1</v>
      </c>
      <c r="B2" s="151">
        <v>22400</v>
      </c>
      <c r="C2" s="150">
        <f t="shared" ref="C2:C17" si="0">B2/A2</f>
        <v>22400</v>
      </c>
      <c r="E2" s="152">
        <v>2500</v>
      </c>
      <c r="F2" s="153">
        <f>G2/E2</f>
        <v>2</v>
      </c>
      <c r="G2" s="150">
        <v>5000</v>
      </c>
      <c r="H2" s="94">
        <f>E2/43560</f>
        <v>5.73921028466483E-2</v>
      </c>
      <c r="I2" s="125">
        <f>G2/H2</f>
        <v>87120</v>
      </c>
    </row>
    <row r="3" spans="1:9">
      <c r="A3" s="126">
        <v>1.5</v>
      </c>
      <c r="B3" s="151">
        <v>24000</v>
      </c>
      <c r="C3" s="150">
        <f t="shared" si="0"/>
        <v>16000</v>
      </c>
      <c r="E3" s="152">
        <v>5000</v>
      </c>
      <c r="F3" s="153">
        <f t="shared" ref="F3:F13" si="1">G3/E3</f>
        <v>1.4</v>
      </c>
      <c r="G3" s="150">
        <v>7000</v>
      </c>
      <c r="H3" s="94">
        <f t="shared" ref="H3:H14" si="2">E3/43560</f>
        <v>0.1147842056932966</v>
      </c>
      <c r="I3" s="125">
        <f t="shared" ref="I3:I14" si="3">G3/H3</f>
        <v>60984</v>
      </c>
    </row>
    <row r="4" spans="1:9">
      <c r="A4" s="126">
        <v>2</v>
      </c>
      <c r="B4" s="151">
        <v>25500</v>
      </c>
      <c r="C4" s="150">
        <f t="shared" si="0"/>
        <v>12750</v>
      </c>
      <c r="E4" s="152">
        <v>7500</v>
      </c>
      <c r="F4" s="153">
        <f t="shared" si="1"/>
        <v>1.0666666666666667</v>
      </c>
      <c r="G4" s="150">
        <v>8000</v>
      </c>
      <c r="H4" s="94">
        <f t="shared" si="2"/>
        <v>0.17217630853994489</v>
      </c>
      <c r="I4" s="125">
        <f t="shared" si="3"/>
        <v>46464</v>
      </c>
    </row>
    <row r="5" spans="1:9">
      <c r="A5" s="126">
        <v>2.5</v>
      </c>
      <c r="B5" s="151">
        <f>(B4+B6)/2</f>
        <v>27050</v>
      </c>
      <c r="C5" s="150">
        <f t="shared" si="0"/>
        <v>10820</v>
      </c>
      <c r="E5" s="152">
        <v>10000</v>
      </c>
      <c r="F5" s="153">
        <f t="shared" si="1"/>
        <v>0.9</v>
      </c>
      <c r="G5" s="150">
        <v>9000</v>
      </c>
      <c r="H5" s="94">
        <f t="shared" si="2"/>
        <v>0.2295684113865932</v>
      </c>
      <c r="I5" s="125">
        <f t="shared" si="3"/>
        <v>39204</v>
      </c>
    </row>
    <row r="6" spans="1:9">
      <c r="A6" s="126">
        <v>3</v>
      </c>
      <c r="B6" s="151">
        <v>28600</v>
      </c>
      <c r="C6" s="150">
        <f t="shared" si="0"/>
        <v>9533.3333333333339</v>
      </c>
      <c r="E6" s="152">
        <v>12500</v>
      </c>
      <c r="F6" s="153">
        <f t="shared" si="1"/>
        <v>0.8</v>
      </c>
      <c r="G6" s="150">
        <v>10000</v>
      </c>
      <c r="H6" s="94">
        <f t="shared" si="2"/>
        <v>0.28696051423324148</v>
      </c>
      <c r="I6" s="125">
        <f t="shared" si="3"/>
        <v>34848</v>
      </c>
    </row>
    <row r="7" spans="1:9">
      <c r="A7" s="126">
        <v>4</v>
      </c>
      <c r="B7" s="151">
        <v>30100</v>
      </c>
      <c r="C7" s="150">
        <f t="shared" si="0"/>
        <v>7525</v>
      </c>
      <c r="E7" s="152">
        <v>15000</v>
      </c>
      <c r="F7" s="153">
        <f t="shared" si="1"/>
        <v>0.73333333333333328</v>
      </c>
      <c r="G7" s="150">
        <v>11000</v>
      </c>
      <c r="H7" s="94">
        <f t="shared" si="2"/>
        <v>0.34435261707988979</v>
      </c>
      <c r="I7" s="125">
        <f t="shared" si="3"/>
        <v>31944</v>
      </c>
    </row>
    <row r="8" spans="1:9">
      <c r="A8" s="126">
        <v>5</v>
      </c>
      <c r="B8" s="151">
        <v>34000</v>
      </c>
      <c r="C8" s="150">
        <f t="shared" si="0"/>
        <v>6800</v>
      </c>
      <c r="E8" s="152">
        <v>20000</v>
      </c>
      <c r="F8" s="153">
        <f t="shared" si="1"/>
        <v>0.65</v>
      </c>
      <c r="G8" s="150">
        <v>13000</v>
      </c>
      <c r="H8" s="94">
        <f t="shared" si="2"/>
        <v>0.4591368227731864</v>
      </c>
      <c r="I8" s="125">
        <f t="shared" si="3"/>
        <v>28314</v>
      </c>
    </row>
    <row r="9" spans="1:9">
      <c r="A9" s="126">
        <v>7</v>
      </c>
      <c r="B9" s="151">
        <v>42000</v>
      </c>
      <c r="C9" s="150">
        <f t="shared" si="0"/>
        <v>6000</v>
      </c>
      <c r="E9" s="152">
        <v>25000</v>
      </c>
      <c r="F9" s="153">
        <f t="shared" si="1"/>
        <v>0.6</v>
      </c>
      <c r="G9" s="150">
        <v>15000</v>
      </c>
      <c r="H9" s="94">
        <f t="shared" si="2"/>
        <v>0.57392102846648296</v>
      </c>
      <c r="I9" s="125">
        <f t="shared" si="3"/>
        <v>26136.000000000004</v>
      </c>
    </row>
    <row r="10" spans="1:9">
      <c r="A10" s="126">
        <v>10</v>
      </c>
      <c r="B10" s="151">
        <v>53000</v>
      </c>
      <c r="C10" s="150">
        <f t="shared" si="0"/>
        <v>5300</v>
      </c>
      <c r="E10" s="152">
        <v>30000</v>
      </c>
      <c r="F10" s="153">
        <f t="shared" si="1"/>
        <v>0.56666666666666665</v>
      </c>
      <c r="G10" s="150">
        <v>17000</v>
      </c>
      <c r="H10" s="94">
        <f t="shared" si="2"/>
        <v>0.68870523415977958</v>
      </c>
      <c r="I10" s="125">
        <f t="shared" si="3"/>
        <v>24684</v>
      </c>
    </row>
    <row r="11" spans="1:9">
      <c r="A11" s="126">
        <v>15</v>
      </c>
      <c r="B11" s="151">
        <v>65000</v>
      </c>
      <c r="C11" s="150">
        <f t="shared" si="0"/>
        <v>4333.333333333333</v>
      </c>
      <c r="E11" s="152">
        <v>40000</v>
      </c>
      <c r="F11" s="153">
        <f t="shared" si="1"/>
        <v>0.52500000000000002</v>
      </c>
      <c r="G11" s="150">
        <v>21000</v>
      </c>
      <c r="H11" s="94">
        <f t="shared" si="2"/>
        <v>0.91827364554637281</v>
      </c>
      <c r="I11" s="125">
        <f t="shared" si="3"/>
        <v>22869</v>
      </c>
    </row>
    <row r="12" spans="1:9">
      <c r="A12" s="126">
        <v>20</v>
      </c>
      <c r="B12" s="151">
        <v>73000</v>
      </c>
      <c r="C12" s="150">
        <f t="shared" si="0"/>
        <v>3650</v>
      </c>
      <c r="E12" s="152">
        <v>50000</v>
      </c>
      <c r="F12" s="153">
        <f t="shared" si="1"/>
        <v>0.5</v>
      </c>
      <c r="G12" s="150">
        <v>25000</v>
      </c>
      <c r="H12" s="94">
        <f t="shared" si="2"/>
        <v>1.1478420569329659</v>
      </c>
      <c r="I12" s="125">
        <f t="shared" si="3"/>
        <v>21780.000000000004</v>
      </c>
    </row>
    <row r="13" spans="1:9">
      <c r="A13" s="126">
        <v>25</v>
      </c>
      <c r="B13" s="151">
        <v>90000</v>
      </c>
      <c r="C13" s="150">
        <f t="shared" si="0"/>
        <v>3600</v>
      </c>
      <c r="E13" s="152">
        <v>60000</v>
      </c>
      <c r="F13" s="153">
        <f t="shared" si="1"/>
        <v>0.48333333333333334</v>
      </c>
      <c r="G13" s="150">
        <v>29000</v>
      </c>
      <c r="H13" s="94">
        <f t="shared" si="2"/>
        <v>1.3774104683195592</v>
      </c>
      <c r="I13" s="125">
        <f t="shared" si="3"/>
        <v>21054</v>
      </c>
    </row>
    <row r="14" spans="1:9">
      <c r="A14" s="126">
        <v>30</v>
      </c>
      <c r="B14" s="151">
        <v>105000</v>
      </c>
      <c r="C14" s="150">
        <f t="shared" si="0"/>
        <v>3500</v>
      </c>
      <c r="E14" s="152">
        <v>87120</v>
      </c>
      <c r="F14" s="153">
        <v>0.38</v>
      </c>
      <c r="G14" s="150">
        <f>E14*F14</f>
        <v>33105.599999999999</v>
      </c>
      <c r="H14" s="94">
        <f t="shared" si="2"/>
        <v>2</v>
      </c>
      <c r="I14" s="125">
        <f t="shared" si="3"/>
        <v>16552.8</v>
      </c>
    </row>
    <row r="15" spans="1:9">
      <c r="A15" s="126">
        <v>40</v>
      </c>
      <c r="B15" s="151">
        <v>135000</v>
      </c>
      <c r="C15" s="150">
        <f t="shared" si="0"/>
        <v>3375</v>
      </c>
    </row>
    <row r="16" spans="1:9">
      <c r="A16" s="126">
        <v>50</v>
      </c>
      <c r="B16" s="151">
        <v>165000</v>
      </c>
      <c r="C16" s="150">
        <f t="shared" si="0"/>
        <v>3300</v>
      </c>
    </row>
    <row r="17" spans="1:3">
      <c r="A17" s="126">
        <v>100</v>
      </c>
      <c r="B17" s="151">
        <v>300000</v>
      </c>
      <c r="C17" s="150">
        <f t="shared" si="0"/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AG Analysis</vt:lpstr>
      <vt:lpstr>AG Sales</vt:lpstr>
      <vt:lpstr>Com</vt:lpstr>
      <vt:lpstr>IND</vt:lpstr>
      <vt:lpstr>Lake Backlots</vt:lpstr>
      <vt:lpstr> Lakefront Tables</vt:lpstr>
      <vt:lpstr>Lakefront</vt:lpstr>
      <vt:lpstr>Rural Res</vt:lpstr>
      <vt:lpstr>Rural Res Tables</vt:lpstr>
      <vt:lpstr>Scherm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Mitchell</dc:creator>
  <cp:lastModifiedBy>AdminAssistant</cp:lastModifiedBy>
  <cp:lastPrinted>2023-03-29T13:59:49Z</cp:lastPrinted>
  <dcterms:created xsi:type="dcterms:W3CDTF">2022-01-20T15:25:27Z</dcterms:created>
  <dcterms:modified xsi:type="dcterms:W3CDTF">2023-03-29T14:00:50Z</dcterms:modified>
</cp:coreProperties>
</file>